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omments3.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omments4.xml" ContentType="application/vnd.openxmlformats-officedocument.spreadsheetml.comments+xml"/>
  <Override PartName="/xl/drawings/drawing15.xml" ContentType="application/vnd.openxmlformats-officedocument.drawing+xml"/>
  <Override PartName="/xl/drawings/drawing16.xml" ContentType="application/vnd.openxmlformats-officedocument.drawing+xml"/>
  <Override PartName="/xl/comments5.xml" ContentType="application/vnd.openxmlformats-officedocument.spreadsheetml.comments+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omments6.xml" ContentType="application/vnd.openxmlformats-officedocument.spreadsheetml.comments+xml"/>
  <Override PartName="/xl/drawings/drawing20.xml" ContentType="application/vnd.openxmlformats-officedocument.drawing+xml"/>
  <Override PartName="/xl/drawings/drawing21.xml" ContentType="application/vnd.openxmlformats-officedocument.drawing+xml"/>
  <Override PartName="/xl/comments7.xml" ContentType="application/vnd.openxmlformats-officedocument.spreadsheetml.comments+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omments8.xml" ContentType="application/vnd.openxmlformats-officedocument.spreadsheetml.comments+xml"/>
  <Override PartName="/xl/drawings/drawing25.xml" ContentType="application/vnd.openxmlformats-officedocument.drawing+xml"/>
  <Override PartName="/xl/drawings/drawing26.xml" ContentType="application/vnd.openxmlformats-officedocument.drawing+xml"/>
  <Override PartName="/xl/comments9.xml" ContentType="application/vnd.openxmlformats-officedocument.spreadsheetml.comments+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comments10.xml" ContentType="application/vnd.openxmlformats-officedocument.spreadsheetml.comments+xml"/>
  <Override PartName="/xl/drawings/drawing30.xml" ContentType="application/vnd.openxmlformats-officedocument.drawing+xml"/>
  <Override PartName="/xl/drawings/drawing31.xml" ContentType="application/vnd.openxmlformats-officedocument.drawing+xml"/>
  <Override PartName="/xl/comments11.xml" ContentType="application/vnd.openxmlformats-officedocument.spreadsheetml.comments+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omments12.xml" ContentType="application/vnd.openxmlformats-officedocument.spreadsheetml.comments+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comments13.xml" ContentType="application/vnd.openxmlformats-officedocument.spreadsheetml.comments+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comments14.xml" ContentType="application/vnd.openxmlformats-officedocument.spreadsheetml.comments+xml"/>
  <Override PartName="/xl/drawings/drawing43.xml" ContentType="application/vnd.openxmlformats-officedocument.drawing+xml"/>
  <Override PartName="/xl/drawings/drawing44.xml" ContentType="application/vnd.openxmlformats-officedocument.drawing+xml"/>
  <Override PartName="/xl/comments15.xml" ContentType="application/vnd.openxmlformats-officedocument.spreadsheetml.comments+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comments16.xml" ContentType="application/vnd.openxmlformats-officedocument.spreadsheetml.comments+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comments17.xml" ContentType="application/vnd.openxmlformats-officedocument.spreadsheetml.comments+xml"/>
  <Override PartName="/xl/drawings/drawing53.xml" ContentType="application/vnd.openxmlformats-officedocument.drawing+xml"/>
  <Override PartName="/xl/comments18.xml" ContentType="application/vnd.openxmlformats-officedocument.spreadsheetml.comments+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comments19.xml" ContentType="application/vnd.openxmlformats-officedocument.spreadsheetml.comments+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comments20.xml" ContentType="application/vnd.openxmlformats-officedocument.spreadsheetml.comments+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comments21.xml" ContentType="application/vnd.openxmlformats-officedocument.spreadsheetml.comments+xml"/>
  <Override PartName="/xl/drawings/drawing67.xml" ContentType="application/vnd.openxmlformats-officedocument.drawing+xml"/>
  <Override PartName="/xl/comments22.xml" ContentType="application/vnd.openxmlformats-officedocument.spreadsheetml.comments+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comments23.xml" ContentType="application/vnd.openxmlformats-officedocument.spreadsheetml.comments+xml"/>
  <Override PartName="/xl/drawings/drawing72.xml" ContentType="application/vnd.openxmlformats-officedocument.drawing+xml"/>
  <Override PartName="/xl/drawings/drawing7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a-faraji\Desktop\"/>
    </mc:Choice>
  </mc:AlternateContent>
  <bookViews>
    <workbookView xWindow="0" yWindow="0" windowWidth="19200" windowHeight="8145" tabRatio="0"/>
  </bookViews>
  <sheets>
    <sheet name="شروع" sheetId="154" r:id="rId1"/>
    <sheet name="جدول شماره 1 کشور" sheetId="84" r:id="rId2"/>
    <sheet name="برش استانی هدف کلی 1" sheetId="85" r:id="rId3"/>
    <sheet name="برش استانی هدف کلی 2" sheetId="86" r:id="rId4"/>
    <sheet name="برش استانی هدف کلی 3" sheetId="87" r:id="rId5"/>
    <sheet name="برش استانی هدف کلی 4" sheetId="88" r:id="rId6"/>
    <sheet name="جدول 2 اهداف کمی" sheetId="8" r:id="rId7"/>
    <sheet name="جدول 2 حجم اهداف کمی" sheetId="9" r:id="rId8"/>
    <sheet name="برش استانی هدف 1" sheetId="13" r:id="rId9"/>
    <sheet name="عملیات-فعالیت ها 1" sheetId="100" r:id="rId10"/>
    <sheet name="شاخص 1" sheetId="111" r:id="rId11"/>
    <sheet name="اهداف 1" sheetId="125" r:id="rId12"/>
    <sheet name="سیاست ها و برنامه ها 1" sheetId="136" r:id="rId13"/>
    <sheet name="برش استانی هدف 2" sheetId="16" r:id="rId14"/>
    <sheet name="عملیات-فعالیت ها 2" sheetId="109" r:id="rId15"/>
    <sheet name="شاخص 2" sheetId="112" r:id="rId16"/>
    <sheet name="اهداف 2" sheetId="126" r:id="rId17"/>
    <sheet name="سیاست ها و برنامه ها 2 " sheetId="137" r:id="rId18"/>
    <sheet name="برش استانی هدف 3" sheetId="19" r:id="rId19"/>
    <sheet name="عملیات-فعالیت ها 3" sheetId="98" r:id="rId20"/>
    <sheet name="شاخص 3" sheetId="113" r:id="rId21"/>
    <sheet name="اهداف 3" sheetId="127" r:id="rId22"/>
    <sheet name="سیاست ها و برنامه ها 3  " sheetId="138" r:id="rId23"/>
    <sheet name="برش استانی هدف 4" sheetId="22" r:id="rId24"/>
    <sheet name="عملیات-فعالیت ها 4" sheetId="99" r:id="rId25"/>
    <sheet name="شاخص4" sheetId="114" r:id="rId26"/>
    <sheet name="اهداف 4" sheetId="128" r:id="rId27"/>
    <sheet name="سیاست ها و برنامه ها 4 " sheetId="139" r:id="rId28"/>
    <sheet name="برش استانی هدف 5" sheetId="25" r:id="rId29"/>
    <sheet name="عملیات-فعالیت ها 5" sheetId="101" r:id="rId30"/>
    <sheet name="شاخص 5" sheetId="110" r:id="rId31"/>
    <sheet name="اهداف 5" sheetId="129" r:id="rId32"/>
    <sheet name="سیاست ها و برنامه ها 5 " sheetId="140" r:id="rId33"/>
    <sheet name="برش استانی هدف 7" sheetId="30" r:id="rId34"/>
    <sheet name="عملیات-فعالیت ها 7 " sheetId="102" r:id="rId35"/>
    <sheet name="شاخص 7" sheetId="115" r:id="rId36"/>
    <sheet name="سیاست ها و برنامه ها 7" sheetId="141" r:id="rId37"/>
    <sheet name="برش استانی هدف 9" sheetId="36" r:id="rId38"/>
    <sheet name="عملیات-فعالیت ها 9" sheetId="103" r:id="rId39"/>
    <sheet name="شاخص 9" sheetId="116" r:id="rId40"/>
    <sheet name="سیاست ها و برنامه ها 9" sheetId="143" r:id="rId41"/>
    <sheet name="برش استانی هدف 10" sheetId="94" r:id="rId42"/>
    <sheet name="عملیات-فعالیت ها 10" sheetId="108" r:id="rId43"/>
    <sheet name="شاخص 10" sheetId="122" r:id="rId44"/>
    <sheet name="اهداف 10" sheetId="130" r:id="rId45"/>
    <sheet name="سیاست ها و برنامه ها 10 " sheetId="144" r:id="rId46"/>
    <sheet name="برش استانی هدف 11" sheetId="42" r:id="rId47"/>
    <sheet name="عملیات-فعالیت ها 11" sheetId="105" r:id="rId48"/>
    <sheet name="اهداف 11" sheetId="132" r:id="rId49"/>
    <sheet name="شاخص 11" sheetId="119" r:id="rId50"/>
    <sheet name="سیاست ها و برنامه ها 11" sheetId="145" r:id="rId51"/>
    <sheet name="برش استانی هدف 12" sheetId="45" r:id="rId52"/>
    <sheet name="عملیات-فعالیت ها 12" sheetId="106" r:id="rId53"/>
    <sheet name="اهداف 12" sheetId="133" r:id="rId54"/>
    <sheet name="شاخص 12" sheetId="120" r:id="rId55"/>
    <sheet name="سیاست ها و برنامه ها 12 " sheetId="146" r:id="rId56"/>
    <sheet name="برش استانی هدف 13" sheetId="48" r:id="rId57"/>
    <sheet name="عملیات-فعالیت ها 13  " sheetId="104" r:id="rId58"/>
    <sheet name="اهداف 13" sheetId="134" r:id="rId59"/>
    <sheet name="شاخص 13" sheetId="118" r:id="rId60"/>
    <sheet name="سیاست ها و برنامه ها 13 " sheetId="147" r:id="rId61"/>
    <sheet name="برش استانی هدف 14" sheetId="51" r:id="rId62"/>
    <sheet name="عملیات-فعالیت ها 14 " sheetId="95" r:id="rId63"/>
    <sheet name="شاخص 14" sheetId="123" r:id="rId64"/>
    <sheet name="سیاست ها و برنامه ها 14 " sheetId="148" r:id="rId65"/>
    <sheet name="برش استانی هدف 15" sheetId="54" r:id="rId66"/>
    <sheet name="عملیات-فعالیت ها 15 " sheetId="97" r:id="rId67"/>
    <sheet name="اهداف 15" sheetId="135" r:id="rId68"/>
    <sheet name="شاخص 15" sheetId="124" r:id="rId69"/>
    <sheet name="سیاست ها و برنامه ها 15" sheetId="149" r:id="rId70"/>
    <sheet name="برش استانی هدف 16" sheetId="57" r:id="rId71"/>
    <sheet name="عملیات-فعالیت ها 16" sheetId="107" r:id="rId72"/>
    <sheet name="شاخص 16" sheetId="121" r:id="rId73"/>
    <sheet name="سیاست ها و برنامه ها 16" sheetId="150" r:id="rId74"/>
    <sheet name="نرخ تسهیم برنامه اجرایی" sheetId="81" state="hidden" r:id="rId75"/>
  </sheets>
  <externalReferences>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s>
  <definedNames>
    <definedName name="_xlnm._FilterDatabase" localSheetId="9" hidden="1">'عملیات-فعالیت ها 1'!$B$2:$M$41</definedName>
    <definedName name="_xlnm._FilterDatabase" localSheetId="42" hidden="1">'عملیات-فعالیت ها 10'!$B$2:$M$28</definedName>
    <definedName name="_xlnm._FilterDatabase" localSheetId="47" hidden="1">'عملیات-فعالیت ها 11'!$B$2:$M$28</definedName>
    <definedName name="_xlnm._FilterDatabase" localSheetId="52" hidden="1">'عملیات-فعالیت ها 12'!$B$2:$M$18</definedName>
    <definedName name="_xlnm._FilterDatabase" localSheetId="57" hidden="1">'عملیات-فعالیت ها 13  '!$B$2:$M$15</definedName>
    <definedName name="_xlnm._FilterDatabase" localSheetId="62" hidden="1">'عملیات-فعالیت ها 14 '!$B$2:$M$7</definedName>
    <definedName name="_xlnm._FilterDatabase" localSheetId="66" hidden="1">'عملیات-فعالیت ها 15 '!$B$2:$M$32</definedName>
    <definedName name="_xlnm._FilterDatabase" localSheetId="71" hidden="1">'عملیات-فعالیت ها 16'!$B$2:$M$15</definedName>
    <definedName name="_xlnm._FilterDatabase" localSheetId="14" hidden="1">'عملیات-فعالیت ها 2'!$B$2:$M$72</definedName>
    <definedName name="_xlnm._FilterDatabase" localSheetId="19" hidden="1">'عملیات-فعالیت ها 3'!$B$2:$M$58</definedName>
    <definedName name="_xlnm._FilterDatabase" localSheetId="24" hidden="1">'عملیات-فعالیت ها 4'!$B$2:$M$14</definedName>
    <definedName name="_xlnm._FilterDatabase" localSheetId="29" hidden="1">'عملیات-فعالیت ها 5'!$B$2:$M$64</definedName>
    <definedName name="_xlnm._FilterDatabase" localSheetId="34" hidden="1">'عملیات-فعالیت ها 7 '!$B$2:$M$23</definedName>
    <definedName name="_xlnm._FilterDatabase" localSheetId="38" hidden="1">'عملیات-فعالیت ها 9'!$B$2:$M$11</definedName>
    <definedName name="FWBS1" localSheetId="44">#REF!</definedName>
    <definedName name="FWBS1" localSheetId="48">#REF!</definedName>
    <definedName name="FWBS1" localSheetId="53">#REF!</definedName>
    <definedName name="FWBS1" localSheetId="58">#REF!</definedName>
    <definedName name="FWBS1" localSheetId="67">#REF!</definedName>
    <definedName name="FWBS1" localSheetId="16">#REF!</definedName>
    <definedName name="FWBS1" localSheetId="21">#REF!</definedName>
    <definedName name="FWBS1" localSheetId="26">#REF!</definedName>
    <definedName name="FWBS1" localSheetId="31">#REF!</definedName>
    <definedName name="FWBS1" localSheetId="41">#REF!</definedName>
    <definedName name="FWBS1" localSheetId="46">#REF!</definedName>
    <definedName name="FWBS1" localSheetId="51">#REF!</definedName>
    <definedName name="FWBS1" localSheetId="56">#REF!</definedName>
    <definedName name="FWBS1" localSheetId="61">#REF!</definedName>
    <definedName name="FWBS1" localSheetId="65">#REF!</definedName>
    <definedName name="FWBS1" localSheetId="70">#REF!</definedName>
    <definedName name="FWBS1" localSheetId="13">#REF!</definedName>
    <definedName name="FWBS1" localSheetId="18">#REF!</definedName>
    <definedName name="FWBS1" localSheetId="23">#REF!</definedName>
    <definedName name="FWBS1" localSheetId="28">#REF!</definedName>
    <definedName name="FWBS1" localSheetId="33">#REF!</definedName>
    <definedName name="FWBS1" localSheetId="37">#REF!</definedName>
    <definedName name="FWBS1" localSheetId="2">#REF!</definedName>
    <definedName name="FWBS1" localSheetId="3">#REF!</definedName>
    <definedName name="FWBS1" localSheetId="4">#REF!</definedName>
    <definedName name="FWBS1" localSheetId="5">#REF!</definedName>
    <definedName name="FWBS1" localSheetId="12">#REF!</definedName>
    <definedName name="FWBS1" localSheetId="45">#REF!</definedName>
    <definedName name="FWBS1" localSheetId="50">#REF!</definedName>
    <definedName name="FWBS1" localSheetId="55">#REF!</definedName>
    <definedName name="FWBS1" localSheetId="60">#REF!</definedName>
    <definedName name="FWBS1" localSheetId="64">#REF!</definedName>
    <definedName name="FWBS1" localSheetId="69">#REF!</definedName>
    <definedName name="FWBS1" localSheetId="73">#REF!</definedName>
    <definedName name="FWBS1" localSheetId="17">#REF!</definedName>
    <definedName name="FWBS1" localSheetId="22">#REF!</definedName>
    <definedName name="FWBS1" localSheetId="27">#REF!</definedName>
    <definedName name="FWBS1" localSheetId="32">#REF!</definedName>
    <definedName name="FWBS1" localSheetId="36">#REF!</definedName>
    <definedName name="FWBS1" localSheetId="40">#REF!</definedName>
    <definedName name="FWBS1" localSheetId="43">#REF!</definedName>
    <definedName name="FWBS1" localSheetId="54">#REF!</definedName>
    <definedName name="FWBS1" localSheetId="59">#REF!</definedName>
    <definedName name="FWBS1" localSheetId="9">[1]FWBS!#REF!</definedName>
    <definedName name="FWBS1" localSheetId="42">[1]FWBS!#REF!</definedName>
    <definedName name="FWBS1" localSheetId="47">[1]FWBS!#REF!</definedName>
    <definedName name="FWBS1" localSheetId="52">[1]FWBS!#REF!</definedName>
    <definedName name="FWBS1" localSheetId="57">[1]FWBS!#REF!</definedName>
    <definedName name="FWBS1" localSheetId="62">[1]FWBS!#REF!</definedName>
    <definedName name="FWBS1" localSheetId="66">[1]FWBS!#REF!</definedName>
    <definedName name="FWBS1" localSheetId="71">[1]FWBS!#REF!</definedName>
    <definedName name="FWBS1" localSheetId="14">[1]FWBS!#REF!</definedName>
    <definedName name="FWBS1" localSheetId="19">[1]FWBS!#REF!</definedName>
    <definedName name="FWBS1" localSheetId="24">[1]FWBS!#REF!</definedName>
    <definedName name="FWBS1" localSheetId="29">[1]FWBS!#REF!</definedName>
    <definedName name="FWBS1" localSheetId="34">[1]FWBS!#REF!</definedName>
    <definedName name="FWBS1" localSheetId="38">[1]FWBS!#REF!</definedName>
    <definedName name="FWBS1" localSheetId="74">#REF!</definedName>
    <definedName name="FWBS1350" localSheetId="44">#REF!</definedName>
    <definedName name="FWBS1350" localSheetId="48">#REF!</definedName>
    <definedName name="FWBS1350" localSheetId="53">#REF!</definedName>
    <definedName name="FWBS1350" localSheetId="58">#REF!</definedName>
    <definedName name="FWBS1350" localSheetId="67">#REF!</definedName>
    <definedName name="FWBS1350" localSheetId="16">#REF!</definedName>
    <definedName name="FWBS1350" localSheetId="21">#REF!</definedName>
    <definedName name="FWBS1350" localSheetId="26">#REF!</definedName>
    <definedName name="FWBS1350" localSheetId="31">#REF!</definedName>
    <definedName name="FWBS1350" localSheetId="41">#REF!</definedName>
    <definedName name="FWBS1350" localSheetId="46">#REF!</definedName>
    <definedName name="FWBS1350" localSheetId="51">#REF!</definedName>
    <definedName name="FWBS1350" localSheetId="56">#REF!</definedName>
    <definedName name="FWBS1350" localSheetId="61">#REF!</definedName>
    <definedName name="FWBS1350" localSheetId="65">#REF!</definedName>
    <definedName name="FWBS1350" localSheetId="70">#REF!</definedName>
    <definedName name="FWBS1350" localSheetId="13">#REF!</definedName>
    <definedName name="FWBS1350" localSheetId="18">#REF!</definedName>
    <definedName name="FWBS1350" localSheetId="23">#REF!</definedName>
    <definedName name="FWBS1350" localSheetId="28">#REF!</definedName>
    <definedName name="FWBS1350" localSheetId="33">#REF!</definedName>
    <definedName name="FWBS1350" localSheetId="37">#REF!</definedName>
    <definedName name="FWBS1350" localSheetId="2">#REF!</definedName>
    <definedName name="FWBS1350" localSheetId="3">#REF!</definedName>
    <definedName name="FWBS1350" localSheetId="4">#REF!</definedName>
    <definedName name="FWBS1350" localSheetId="5">#REF!</definedName>
    <definedName name="FWBS1350" localSheetId="12">#REF!</definedName>
    <definedName name="FWBS1350" localSheetId="45">#REF!</definedName>
    <definedName name="FWBS1350" localSheetId="50">#REF!</definedName>
    <definedName name="FWBS1350" localSheetId="55">#REF!</definedName>
    <definedName name="FWBS1350" localSheetId="60">#REF!</definedName>
    <definedName name="FWBS1350" localSheetId="64">#REF!</definedName>
    <definedName name="FWBS1350" localSheetId="69">#REF!</definedName>
    <definedName name="FWBS1350" localSheetId="73">#REF!</definedName>
    <definedName name="FWBS1350" localSheetId="17">#REF!</definedName>
    <definedName name="FWBS1350" localSheetId="22">#REF!</definedName>
    <definedName name="FWBS1350" localSheetId="27">#REF!</definedName>
    <definedName name="FWBS1350" localSheetId="32">#REF!</definedName>
    <definedName name="FWBS1350" localSheetId="36">#REF!</definedName>
    <definedName name="FWBS1350" localSheetId="40">#REF!</definedName>
    <definedName name="FWBS1350" localSheetId="9">[1]FWBS!#REF!</definedName>
    <definedName name="FWBS1350" localSheetId="42">[1]FWBS!#REF!</definedName>
    <definedName name="FWBS1350" localSheetId="47">[1]FWBS!#REF!</definedName>
    <definedName name="FWBS1350" localSheetId="52">[1]FWBS!#REF!</definedName>
    <definedName name="FWBS1350" localSheetId="57">[1]FWBS!#REF!</definedName>
    <definedName name="FWBS1350" localSheetId="62">[1]FWBS!#REF!</definedName>
    <definedName name="FWBS1350" localSheetId="66">[1]FWBS!#REF!</definedName>
    <definedName name="FWBS1350" localSheetId="71">[1]FWBS!#REF!</definedName>
    <definedName name="FWBS1350" localSheetId="14">[1]FWBS!#REF!</definedName>
    <definedName name="FWBS1350" localSheetId="19">[1]FWBS!#REF!</definedName>
    <definedName name="FWBS1350" localSheetId="24">[1]FWBS!#REF!</definedName>
    <definedName name="FWBS1350" localSheetId="29">[1]FWBS!#REF!</definedName>
    <definedName name="FWBS1350" localSheetId="34">[1]FWBS!#REF!</definedName>
    <definedName name="FWBS1350" localSheetId="38">[1]FWBS!#REF!</definedName>
    <definedName name="FWBS1350" localSheetId="74">#REF!</definedName>
    <definedName name="iniciative" localSheetId="44">#REF!</definedName>
    <definedName name="iniciative" localSheetId="48">#REF!</definedName>
    <definedName name="iniciative" localSheetId="53">#REF!</definedName>
    <definedName name="iniciative" localSheetId="58">#REF!</definedName>
    <definedName name="iniciative" localSheetId="67">#REF!</definedName>
    <definedName name="iniciative" localSheetId="16">#REF!</definedName>
    <definedName name="iniciative" localSheetId="21">#REF!</definedName>
    <definedName name="iniciative" localSheetId="26">#REF!</definedName>
    <definedName name="iniciative" localSheetId="31">#REF!</definedName>
    <definedName name="iniciative" localSheetId="41">#REF!</definedName>
    <definedName name="iniciative" localSheetId="46">#REF!</definedName>
    <definedName name="iniciative" localSheetId="56">#REF!</definedName>
    <definedName name="iniciative" localSheetId="70">#REF!</definedName>
    <definedName name="iniciative" localSheetId="18">#REF!</definedName>
    <definedName name="iniciative" localSheetId="23">#REF!</definedName>
    <definedName name="iniciative" localSheetId="37">#REF!</definedName>
    <definedName name="iniciative" localSheetId="2">#REF!</definedName>
    <definedName name="iniciative" localSheetId="3">#REF!</definedName>
    <definedName name="iniciative" localSheetId="4">#REF!</definedName>
    <definedName name="iniciative" localSheetId="5">#REF!</definedName>
    <definedName name="iniciative" localSheetId="12">#REF!</definedName>
    <definedName name="iniciative" localSheetId="45">#REF!</definedName>
    <definedName name="iniciative" localSheetId="50">#REF!</definedName>
    <definedName name="iniciative" localSheetId="55">#REF!</definedName>
    <definedName name="iniciative" localSheetId="60">#REF!</definedName>
    <definedName name="iniciative" localSheetId="64">#REF!</definedName>
    <definedName name="iniciative" localSheetId="69">#REF!</definedName>
    <definedName name="iniciative" localSheetId="73">#REF!</definedName>
    <definedName name="iniciative" localSheetId="17">#REF!</definedName>
    <definedName name="iniciative" localSheetId="22">#REF!</definedName>
    <definedName name="iniciative" localSheetId="27">#REF!</definedName>
    <definedName name="iniciative" localSheetId="32">#REF!</definedName>
    <definedName name="iniciative" localSheetId="36">#REF!</definedName>
    <definedName name="iniciative" localSheetId="40">#REF!</definedName>
    <definedName name="iniciative" localSheetId="9">#REF!</definedName>
    <definedName name="iniciative" localSheetId="42">#REF!</definedName>
    <definedName name="iniciative" localSheetId="47">#REF!</definedName>
    <definedName name="iniciative" localSheetId="52">#REF!</definedName>
    <definedName name="iniciative" localSheetId="57">#REF!</definedName>
    <definedName name="iniciative" localSheetId="62">#REF!</definedName>
    <definedName name="iniciative" localSheetId="66">#REF!</definedName>
    <definedName name="iniciative" localSheetId="71">#REF!</definedName>
    <definedName name="iniciative" localSheetId="14">#REF!</definedName>
    <definedName name="iniciative" localSheetId="19">#REF!</definedName>
    <definedName name="iniciative" localSheetId="24">#REF!</definedName>
    <definedName name="iniciative" localSheetId="29">#REF!</definedName>
    <definedName name="iniciative" localSheetId="34">#REF!</definedName>
    <definedName name="iniciative" localSheetId="38">#REF!</definedName>
    <definedName name="iniciative" localSheetId="74">#REF!</definedName>
    <definedName name="PCWBS10" localSheetId="44">#REF!</definedName>
    <definedName name="PCWBS10" localSheetId="48">#REF!</definedName>
    <definedName name="PCWBS10" localSheetId="53">#REF!</definedName>
    <definedName name="PCWBS10" localSheetId="58">#REF!</definedName>
    <definedName name="PCWBS10" localSheetId="67">#REF!</definedName>
    <definedName name="PCWBS10" localSheetId="16">#REF!</definedName>
    <definedName name="PCWBS10" localSheetId="21">#REF!</definedName>
    <definedName name="PCWBS10" localSheetId="26">#REF!</definedName>
    <definedName name="PCWBS10" localSheetId="31">#REF!</definedName>
    <definedName name="PCWBS10" localSheetId="41">#REF!</definedName>
    <definedName name="PCWBS10" localSheetId="46">#REF!</definedName>
    <definedName name="PCWBS10" localSheetId="51">#REF!</definedName>
    <definedName name="PCWBS10" localSheetId="56">#REF!</definedName>
    <definedName name="PCWBS10" localSheetId="61">#REF!</definedName>
    <definedName name="PCWBS10" localSheetId="65">#REF!</definedName>
    <definedName name="PCWBS10" localSheetId="70">#REF!</definedName>
    <definedName name="PCWBS10" localSheetId="13">#REF!</definedName>
    <definedName name="PCWBS10" localSheetId="18">#REF!</definedName>
    <definedName name="PCWBS10" localSheetId="23">#REF!</definedName>
    <definedName name="PCWBS10" localSheetId="28">#REF!</definedName>
    <definedName name="PCWBS10" localSheetId="33">#REF!</definedName>
    <definedName name="PCWBS10" localSheetId="37">#REF!</definedName>
    <definedName name="PCWBS10" localSheetId="2">#REF!</definedName>
    <definedName name="PCWBS10" localSheetId="3">#REF!</definedName>
    <definedName name="PCWBS10" localSheetId="4">#REF!</definedName>
    <definedName name="PCWBS10" localSheetId="5">#REF!</definedName>
    <definedName name="PCWBS10" localSheetId="12">#REF!</definedName>
    <definedName name="PCWBS10" localSheetId="45">#REF!</definedName>
    <definedName name="PCWBS10" localSheetId="50">#REF!</definedName>
    <definedName name="PCWBS10" localSheetId="55">#REF!</definedName>
    <definedName name="PCWBS10" localSheetId="60">#REF!</definedName>
    <definedName name="PCWBS10" localSheetId="64">#REF!</definedName>
    <definedName name="PCWBS10" localSheetId="69">#REF!</definedName>
    <definedName name="PCWBS10" localSheetId="73">#REF!</definedName>
    <definedName name="PCWBS10" localSheetId="17">#REF!</definedName>
    <definedName name="PCWBS10" localSheetId="22">#REF!</definedName>
    <definedName name="PCWBS10" localSheetId="27">#REF!</definedName>
    <definedName name="PCWBS10" localSheetId="32">#REF!</definedName>
    <definedName name="PCWBS10" localSheetId="36">#REF!</definedName>
    <definedName name="PCWBS10" localSheetId="40">#REF!</definedName>
    <definedName name="PCWBS10" localSheetId="43">#REF!</definedName>
    <definedName name="PCWBS10" localSheetId="54">#REF!</definedName>
    <definedName name="PCWBS10" localSheetId="59">#REF!</definedName>
    <definedName name="PCWBS10" localSheetId="9">[1]PCWBS!#REF!</definedName>
    <definedName name="PCWBS10" localSheetId="42">[1]PCWBS!#REF!</definedName>
    <definedName name="PCWBS10" localSheetId="47">[1]PCWBS!#REF!</definedName>
    <definedName name="PCWBS10" localSheetId="52">[1]PCWBS!#REF!</definedName>
    <definedName name="PCWBS10" localSheetId="57">[1]PCWBS!#REF!</definedName>
    <definedName name="PCWBS10" localSheetId="62">[1]PCWBS!#REF!</definedName>
    <definedName name="PCWBS10" localSheetId="66">[1]PCWBS!#REF!</definedName>
    <definedName name="PCWBS10" localSheetId="71">[1]PCWBS!#REF!</definedName>
    <definedName name="PCWBS10" localSheetId="14">[1]PCWBS!#REF!</definedName>
    <definedName name="PCWBS10" localSheetId="19">[1]PCWBS!#REF!</definedName>
    <definedName name="PCWBS10" localSheetId="24">[1]PCWBS!#REF!</definedName>
    <definedName name="PCWBS10" localSheetId="29">[1]PCWBS!#REF!</definedName>
    <definedName name="PCWBS10" localSheetId="34">[1]PCWBS!#REF!</definedName>
    <definedName name="PCWBS10" localSheetId="38">[1]PCWBS!#REF!</definedName>
    <definedName name="PCWBS10" localSheetId="74">#REF!</definedName>
    <definedName name="PCWBS3" localSheetId="44">[2]PCWBS1!#REF!</definedName>
    <definedName name="PCWBS3" localSheetId="48">[2]PCWBS1!#REF!</definedName>
    <definedName name="PCWBS3" localSheetId="53">[2]PCWBS1!#REF!</definedName>
    <definedName name="PCWBS3" localSheetId="58">[2]PCWBS1!#REF!</definedName>
    <definedName name="PCWBS3" localSheetId="67">[2]PCWBS1!#REF!</definedName>
    <definedName name="PCWBS3" localSheetId="16">[2]PCWBS1!#REF!</definedName>
    <definedName name="PCWBS3" localSheetId="21">[2]PCWBS1!#REF!</definedName>
    <definedName name="PCWBS3" localSheetId="26">[2]PCWBS1!#REF!</definedName>
    <definedName name="PCWBS3" localSheetId="31">[2]PCWBS1!#REF!</definedName>
    <definedName name="PCWBS3" localSheetId="2">[2]PCWBS1!#REF!</definedName>
    <definedName name="PCWBS3" localSheetId="3">[2]PCWBS1!#REF!</definedName>
    <definedName name="PCWBS3" localSheetId="4">[2]PCWBS1!#REF!</definedName>
    <definedName name="PCWBS3" localSheetId="5">[2]PCWBS1!#REF!</definedName>
    <definedName name="PCWBS3" localSheetId="12">[2]PCWBS1!#REF!</definedName>
    <definedName name="PCWBS3" localSheetId="45">[3]PCWBS1!#REF!</definedName>
    <definedName name="PCWBS3" localSheetId="50">[2]PCWBS1!#REF!</definedName>
    <definedName name="PCWBS3" localSheetId="55">[2]PCWBS1!#REF!</definedName>
    <definedName name="PCWBS3" localSheetId="60">[2]PCWBS1!#REF!</definedName>
    <definedName name="PCWBS3" localSheetId="64">[2]PCWBS1!#REF!</definedName>
    <definedName name="PCWBS3" localSheetId="69">[2]PCWBS1!#REF!</definedName>
    <definedName name="PCWBS3" localSheetId="73">[2]PCWBS1!#REF!</definedName>
    <definedName name="PCWBS3" localSheetId="17">[2]PCWBS1!#REF!</definedName>
    <definedName name="PCWBS3" localSheetId="22">[4]PCWBS1!#REF!</definedName>
    <definedName name="PCWBS3" localSheetId="27">[2]PCWBS1!#REF!</definedName>
    <definedName name="PCWBS3" localSheetId="32">[2]PCWBS1!#REF!</definedName>
    <definedName name="PCWBS3" localSheetId="36">[3]PCWBS1!#REF!</definedName>
    <definedName name="PCWBS3" localSheetId="40">[3]PCWBS1!#REF!</definedName>
    <definedName name="PCWBS3" localSheetId="9">[2]PCWBS1!#REF!</definedName>
    <definedName name="PCWBS3" localSheetId="42">[2]PCWBS1!#REF!</definedName>
    <definedName name="PCWBS3" localSheetId="47">[2]PCWBS1!#REF!</definedName>
    <definedName name="PCWBS3" localSheetId="52">[2]PCWBS1!#REF!</definedName>
    <definedName name="PCWBS3" localSheetId="57">[2]PCWBS1!#REF!</definedName>
    <definedName name="PCWBS3" localSheetId="62">[2]PCWBS1!#REF!</definedName>
    <definedName name="PCWBS3" localSheetId="66">[2]PCWBS1!#REF!</definedName>
    <definedName name="PCWBS3" localSheetId="71">[2]PCWBS1!#REF!</definedName>
    <definedName name="PCWBS3" localSheetId="14">[2]PCWBS1!#REF!</definedName>
    <definedName name="PCWBS3" localSheetId="19">[2]PCWBS1!#REF!</definedName>
    <definedName name="PCWBS3" localSheetId="24">[2]PCWBS1!#REF!</definedName>
    <definedName name="PCWBS3" localSheetId="29">[2]PCWBS1!#REF!</definedName>
    <definedName name="PCWBS3" localSheetId="34">[2]PCWBS1!#REF!</definedName>
    <definedName name="PCWBS3" localSheetId="38">[2]PCWBS1!#REF!</definedName>
    <definedName name="PCWBS3" localSheetId="74">[2]PCWBS1!#REF!</definedName>
    <definedName name="PCWBS4" localSheetId="44">[2]PCWBS1!#REF!</definedName>
    <definedName name="PCWBS4" localSheetId="48">[2]PCWBS1!#REF!</definedName>
    <definedName name="PCWBS4" localSheetId="53">[2]PCWBS1!#REF!</definedName>
    <definedName name="PCWBS4" localSheetId="58">[2]PCWBS1!#REF!</definedName>
    <definedName name="PCWBS4" localSheetId="67">[2]PCWBS1!#REF!</definedName>
    <definedName name="PCWBS4" localSheetId="16">[2]PCWBS1!#REF!</definedName>
    <definedName name="PCWBS4" localSheetId="21">[2]PCWBS1!#REF!</definedName>
    <definedName name="PCWBS4" localSheetId="26">[2]PCWBS1!#REF!</definedName>
    <definedName name="PCWBS4" localSheetId="31">[2]PCWBS1!#REF!</definedName>
    <definedName name="PCWBS4" localSheetId="2">[2]PCWBS1!#REF!</definedName>
    <definedName name="PCWBS4" localSheetId="3">[2]PCWBS1!#REF!</definedName>
    <definedName name="PCWBS4" localSheetId="4">[2]PCWBS1!#REF!</definedName>
    <definedName name="PCWBS4" localSheetId="5">[2]PCWBS1!#REF!</definedName>
    <definedName name="PCWBS4" localSheetId="12">[2]PCWBS1!#REF!</definedName>
    <definedName name="PCWBS4" localSheetId="45">[3]PCWBS1!#REF!</definedName>
    <definedName name="PCWBS4" localSheetId="50">[2]PCWBS1!#REF!</definedName>
    <definedName name="PCWBS4" localSheetId="55">[2]PCWBS1!#REF!</definedName>
    <definedName name="PCWBS4" localSheetId="60">[2]PCWBS1!#REF!</definedName>
    <definedName name="PCWBS4" localSheetId="64">[2]PCWBS1!#REF!</definedName>
    <definedName name="PCWBS4" localSheetId="69">[2]PCWBS1!#REF!</definedName>
    <definedName name="PCWBS4" localSheetId="73">[2]PCWBS1!#REF!</definedName>
    <definedName name="PCWBS4" localSheetId="17">[2]PCWBS1!#REF!</definedName>
    <definedName name="PCWBS4" localSheetId="22">[4]PCWBS1!#REF!</definedName>
    <definedName name="PCWBS4" localSheetId="27">[2]PCWBS1!#REF!</definedName>
    <definedName name="PCWBS4" localSheetId="32">[2]PCWBS1!#REF!</definedName>
    <definedName name="PCWBS4" localSheetId="36">[3]PCWBS1!#REF!</definedName>
    <definedName name="PCWBS4" localSheetId="40">[3]PCWBS1!#REF!</definedName>
    <definedName name="PCWBS4" localSheetId="9">[2]PCWBS1!#REF!</definedName>
    <definedName name="PCWBS4" localSheetId="42">[2]PCWBS1!#REF!</definedName>
    <definedName name="PCWBS4" localSheetId="47">[2]PCWBS1!#REF!</definedName>
    <definedName name="PCWBS4" localSheetId="52">[2]PCWBS1!#REF!</definedName>
    <definedName name="PCWBS4" localSheetId="57">[2]PCWBS1!#REF!</definedName>
    <definedName name="PCWBS4" localSheetId="62">[2]PCWBS1!#REF!</definedName>
    <definedName name="PCWBS4" localSheetId="66">[2]PCWBS1!#REF!</definedName>
    <definedName name="PCWBS4" localSheetId="71">[2]PCWBS1!#REF!</definedName>
    <definedName name="PCWBS4" localSheetId="14">[2]PCWBS1!#REF!</definedName>
    <definedName name="PCWBS4" localSheetId="19">[2]PCWBS1!#REF!</definedName>
    <definedName name="PCWBS4" localSheetId="24">[2]PCWBS1!#REF!</definedName>
    <definedName name="PCWBS4" localSheetId="29">[2]PCWBS1!#REF!</definedName>
    <definedName name="PCWBS4" localSheetId="34">[2]PCWBS1!#REF!</definedName>
    <definedName name="PCWBS4" localSheetId="38">[2]PCWBS1!#REF!</definedName>
    <definedName name="PCWBS4" localSheetId="74">[2]PCWBS1!#REF!</definedName>
    <definedName name="PCWBS5" localSheetId="44">[2]PCWBS1!#REF!</definedName>
    <definedName name="PCWBS5" localSheetId="48">[2]PCWBS1!#REF!</definedName>
    <definedName name="PCWBS5" localSheetId="53">[2]PCWBS1!#REF!</definedName>
    <definedName name="PCWBS5" localSheetId="58">[2]PCWBS1!#REF!</definedName>
    <definedName name="PCWBS5" localSheetId="67">[2]PCWBS1!#REF!</definedName>
    <definedName name="PCWBS5" localSheetId="16">[2]PCWBS1!#REF!</definedName>
    <definedName name="PCWBS5" localSheetId="21">[2]PCWBS1!#REF!</definedName>
    <definedName name="PCWBS5" localSheetId="26">[2]PCWBS1!#REF!</definedName>
    <definedName name="PCWBS5" localSheetId="31">[2]PCWBS1!#REF!</definedName>
    <definedName name="PCWBS5" localSheetId="2">[2]PCWBS1!#REF!</definedName>
    <definedName name="PCWBS5" localSheetId="3">[2]PCWBS1!#REF!</definedName>
    <definedName name="PCWBS5" localSheetId="4">[2]PCWBS1!#REF!</definedName>
    <definedName name="PCWBS5" localSheetId="5">[2]PCWBS1!#REF!</definedName>
    <definedName name="PCWBS5" localSheetId="12">[2]PCWBS1!#REF!</definedName>
    <definedName name="PCWBS5" localSheetId="45">[3]PCWBS1!#REF!</definedName>
    <definedName name="PCWBS5" localSheetId="50">[2]PCWBS1!#REF!</definedName>
    <definedName name="PCWBS5" localSheetId="55">[2]PCWBS1!#REF!</definedName>
    <definedName name="PCWBS5" localSheetId="60">[2]PCWBS1!#REF!</definedName>
    <definedName name="PCWBS5" localSheetId="64">[2]PCWBS1!#REF!</definedName>
    <definedName name="PCWBS5" localSheetId="69">[2]PCWBS1!#REF!</definedName>
    <definedName name="PCWBS5" localSheetId="73">[2]PCWBS1!#REF!</definedName>
    <definedName name="PCWBS5" localSheetId="17">[2]PCWBS1!#REF!</definedName>
    <definedName name="PCWBS5" localSheetId="22">[4]PCWBS1!#REF!</definedName>
    <definedName name="PCWBS5" localSheetId="27">[2]PCWBS1!#REF!</definedName>
    <definedName name="PCWBS5" localSheetId="32">[2]PCWBS1!#REF!</definedName>
    <definedName name="PCWBS5" localSheetId="36">[3]PCWBS1!#REF!</definedName>
    <definedName name="PCWBS5" localSheetId="40">[3]PCWBS1!#REF!</definedName>
    <definedName name="PCWBS5" localSheetId="9">[2]PCWBS1!#REF!</definedName>
    <definedName name="PCWBS5" localSheetId="42">[2]PCWBS1!#REF!</definedName>
    <definedName name="PCWBS5" localSheetId="47">[2]PCWBS1!#REF!</definedName>
    <definedName name="PCWBS5" localSheetId="52">[2]PCWBS1!#REF!</definedName>
    <definedName name="PCWBS5" localSheetId="57">[2]PCWBS1!#REF!</definedName>
    <definedName name="PCWBS5" localSheetId="62">[2]PCWBS1!#REF!</definedName>
    <definedName name="PCWBS5" localSheetId="66">[2]PCWBS1!#REF!</definedName>
    <definedName name="PCWBS5" localSheetId="71">[2]PCWBS1!#REF!</definedName>
    <definedName name="PCWBS5" localSheetId="14">[2]PCWBS1!#REF!</definedName>
    <definedName name="PCWBS5" localSheetId="19">[2]PCWBS1!#REF!</definedName>
    <definedName name="PCWBS5" localSheetId="24">[2]PCWBS1!#REF!</definedName>
    <definedName name="PCWBS5" localSheetId="29">[2]PCWBS1!#REF!</definedName>
    <definedName name="PCWBS5" localSheetId="34">[2]PCWBS1!#REF!</definedName>
    <definedName name="PCWBS5" localSheetId="38">[2]PCWBS1!#REF!</definedName>
    <definedName name="PCWBS5" localSheetId="74">[2]PCWBS1!#REF!</definedName>
    <definedName name="PCWBS6" localSheetId="44">[2]PCWBS1!#REF!</definedName>
    <definedName name="PCWBS6" localSheetId="48">[2]PCWBS1!#REF!</definedName>
    <definedName name="PCWBS6" localSheetId="53">[2]PCWBS1!#REF!</definedName>
    <definedName name="PCWBS6" localSheetId="58">[2]PCWBS1!#REF!</definedName>
    <definedName name="PCWBS6" localSheetId="67">[2]PCWBS1!#REF!</definedName>
    <definedName name="PCWBS6" localSheetId="16">[2]PCWBS1!#REF!</definedName>
    <definedName name="PCWBS6" localSheetId="21">[2]PCWBS1!#REF!</definedName>
    <definedName name="PCWBS6" localSheetId="26">[2]PCWBS1!#REF!</definedName>
    <definedName name="PCWBS6" localSheetId="31">[2]PCWBS1!#REF!</definedName>
    <definedName name="PCWBS6" localSheetId="2">[2]PCWBS1!#REF!</definedName>
    <definedName name="PCWBS6" localSheetId="3">[2]PCWBS1!#REF!</definedName>
    <definedName name="PCWBS6" localSheetId="4">[2]PCWBS1!#REF!</definedName>
    <definedName name="PCWBS6" localSheetId="5">[2]PCWBS1!#REF!</definedName>
    <definedName name="PCWBS6" localSheetId="12">[2]PCWBS1!#REF!</definedName>
    <definedName name="PCWBS6" localSheetId="45">[3]PCWBS1!#REF!</definedName>
    <definedName name="PCWBS6" localSheetId="50">[2]PCWBS1!#REF!</definedName>
    <definedName name="PCWBS6" localSheetId="55">[2]PCWBS1!#REF!</definedName>
    <definedName name="PCWBS6" localSheetId="60">[2]PCWBS1!#REF!</definedName>
    <definedName name="PCWBS6" localSheetId="64">[2]PCWBS1!#REF!</definedName>
    <definedName name="PCWBS6" localSheetId="69">[2]PCWBS1!#REF!</definedName>
    <definedName name="PCWBS6" localSheetId="73">[2]PCWBS1!#REF!</definedName>
    <definedName name="PCWBS6" localSheetId="17">[2]PCWBS1!#REF!</definedName>
    <definedName name="PCWBS6" localSheetId="22">[4]PCWBS1!#REF!</definedName>
    <definedName name="PCWBS6" localSheetId="27">[2]PCWBS1!#REF!</definedName>
    <definedName name="PCWBS6" localSheetId="32">[2]PCWBS1!#REF!</definedName>
    <definedName name="PCWBS6" localSheetId="36">[3]PCWBS1!#REF!</definedName>
    <definedName name="PCWBS6" localSheetId="40">[3]PCWBS1!#REF!</definedName>
    <definedName name="PCWBS6" localSheetId="9">[2]PCWBS1!#REF!</definedName>
    <definedName name="PCWBS6" localSheetId="42">[2]PCWBS1!#REF!</definedName>
    <definedName name="PCWBS6" localSheetId="47">[2]PCWBS1!#REF!</definedName>
    <definedName name="PCWBS6" localSheetId="52">[2]PCWBS1!#REF!</definedName>
    <definedName name="PCWBS6" localSheetId="57">[2]PCWBS1!#REF!</definedName>
    <definedName name="PCWBS6" localSheetId="62">[2]PCWBS1!#REF!</definedName>
    <definedName name="PCWBS6" localSheetId="66">[2]PCWBS1!#REF!</definedName>
    <definedName name="PCWBS6" localSheetId="71">[2]PCWBS1!#REF!</definedName>
    <definedName name="PCWBS6" localSheetId="14">[2]PCWBS1!#REF!</definedName>
    <definedName name="PCWBS6" localSheetId="19">[2]PCWBS1!#REF!</definedName>
    <definedName name="PCWBS6" localSheetId="24">[2]PCWBS1!#REF!</definedName>
    <definedName name="PCWBS6" localSheetId="29">[2]PCWBS1!#REF!</definedName>
    <definedName name="PCWBS6" localSheetId="34">[2]PCWBS1!#REF!</definedName>
    <definedName name="PCWBS6" localSheetId="38">[2]PCWBS1!#REF!</definedName>
    <definedName name="PCWBS6" localSheetId="74">[2]PCWBS1!#REF!</definedName>
    <definedName name="PCWBS7" localSheetId="44">[2]PCWBS1!#REF!</definedName>
    <definedName name="PCWBS7" localSheetId="48">[2]PCWBS1!#REF!</definedName>
    <definedName name="PCWBS7" localSheetId="53">[2]PCWBS1!#REF!</definedName>
    <definedName name="PCWBS7" localSheetId="58">[2]PCWBS1!#REF!</definedName>
    <definedName name="PCWBS7" localSheetId="67">[2]PCWBS1!#REF!</definedName>
    <definedName name="PCWBS7" localSheetId="16">[2]PCWBS1!#REF!</definedName>
    <definedName name="PCWBS7" localSheetId="21">[2]PCWBS1!#REF!</definedName>
    <definedName name="PCWBS7" localSheetId="26">[2]PCWBS1!#REF!</definedName>
    <definedName name="PCWBS7" localSheetId="31">[2]PCWBS1!#REF!</definedName>
    <definedName name="PCWBS7" localSheetId="2">[2]PCWBS1!#REF!</definedName>
    <definedName name="PCWBS7" localSheetId="3">[2]PCWBS1!#REF!</definedName>
    <definedName name="PCWBS7" localSheetId="4">[2]PCWBS1!#REF!</definedName>
    <definedName name="PCWBS7" localSheetId="5">[2]PCWBS1!#REF!</definedName>
    <definedName name="PCWBS7" localSheetId="12">[2]PCWBS1!#REF!</definedName>
    <definedName name="PCWBS7" localSheetId="45">[3]PCWBS1!#REF!</definedName>
    <definedName name="PCWBS7" localSheetId="50">[2]PCWBS1!#REF!</definedName>
    <definedName name="PCWBS7" localSheetId="55">[2]PCWBS1!#REF!</definedName>
    <definedName name="PCWBS7" localSheetId="60">[2]PCWBS1!#REF!</definedName>
    <definedName name="PCWBS7" localSheetId="64">[2]PCWBS1!#REF!</definedName>
    <definedName name="PCWBS7" localSheetId="69">[2]PCWBS1!#REF!</definedName>
    <definedName name="PCWBS7" localSheetId="73">[2]PCWBS1!#REF!</definedName>
    <definedName name="PCWBS7" localSheetId="17">[2]PCWBS1!#REF!</definedName>
    <definedName name="PCWBS7" localSheetId="22">[4]PCWBS1!#REF!</definedName>
    <definedName name="PCWBS7" localSheetId="27">[2]PCWBS1!#REF!</definedName>
    <definedName name="PCWBS7" localSheetId="32">[2]PCWBS1!#REF!</definedName>
    <definedName name="PCWBS7" localSheetId="36">[3]PCWBS1!#REF!</definedName>
    <definedName name="PCWBS7" localSheetId="40">[3]PCWBS1!#REF!</definedName>
    <definedName name="PCWBS7" localSheetId="9">[2]PCWBS1!#REF!</definedName>
    <definedName name="PCWBS7" localSheetId="42">[2]PCWBS1!#REF!</definedName>
    <definedName name="PCWBS7" localSheetId="47">[2]PCWBS1!#REF!</definedName>
    <definedName name="PCWBS7" localSheetId="52">[2]PCWBS1!#REF!</definedName>
    <definedName name="PCWBS7" localSheetId="57">[2]PCWBS1!#REF!</definedName>
    <definedName name="PCWBS7" localSheetId="62">[2]PCWBS1!#REF!</definedName>
    <definedName name="PCWBS7" localSheetId="66">[2]PCWBS1!#REF!</definedName>
    <definedName name="PCWBS7" localSheetId="71">[2]PCWBS1!#REF!</definedName>
    <definedName name="PCWBS7" localSheetId="14">[2]PCWBS1!#REF!</definedName>
    <definedName name="PCWBS7" localSheetId="19">[2]PCWBS1!#REF!</definedName>
    <definedName name="PCWBS7" localSheetId="24">[2]PCWBS1!#REF!</definedName>
    <definedName name="PCWBS7" localSheetId="29">[2]PCWBS1!#REF!</definedName>
    <definedName name="PCWBS7" localSheetId="34">[2]PCWBS1!#REF!</definedName>
    <definedName name="PCWBS7" localSheetId="38">[2]PCWBS1!#REF!</definedName>
    <definedName name="PCWBS7" localSheetId="74">[2]PCWBS1!#REF!</definedName>
    <definedName name="PCWBS8" localSheetId="44">[2]PCWBS1!#REF!</definedName>
    <definedName name="PCWBS8" localSheetId="48">[2]PCWBS1!#REF!</definedName>
    <definedName name="PCWBS8" localSheetId="53">[2]PCWBS1!#REF!</definedName>
    <definedName name="PCWBS8" localSheetId="58">[2]PCWBS1!#REF!</definedName>
    <definedName name="PCWBS8" localSheetId="67">[2]PCWBS1!#REF!</definedName>
    <definedName name="PCWBS8" localSheetId="16">[2]PCWBS1!#REF!</definedName>
    <definedName name="PCWBS8" localSheetId="21">[2]PCWBS1!#REF!</definedName>
    <definedName name="PCWBS8" localSheetId="26">[2]PCWBS1!#REF!</definedName>
    <definedName name="PCWBS8" localSheetId="31">[2]PCWBS1!#REF!</definedName>
    <definedName name="PCWBS8" localSheetId="2">[2]PCWBS1!#REF!</definedName>
    <definedName name="PCWBS8" localSheetId="3">[2]PCWBS1!#REF!</definedName>
    <definedName name="PCWBS8" localSheetId="4">[2]PCWBS1!#REF!</definedName>
    <definedName name="PCWBS8" localSheetId="5">[2]PCWBS1!#REF!</definedName>
    <definedName name="PCWBS8" localSheetId="12">[2]PCWBS1!#REF!</definedName>
    <definedName name="PCWBS8" localSheetId="45">[3]PCWBS1!#REF!</definedName>
    <definedName name="PCWBS8" localSheetId="50">[2]PCWBS1!#REF!</definedName>
    <definedName name="PCWBS8" localSheetId="55">[2]PCWBS1!#REF!</definedName>
    <definedName name="PCWBS8" localSheetId="60">[2]PCWBS1!#REF!</definedName>
    <definedName name="PCWBS8" localSheetId="64">[2]PCWBS1!#REF!</definedName>
    <definedName name="PCWBS8" localSheetId="69">[2]PCWBS1!#REF!</definedName>
    <definedName name="PCWBS8" localSheetId="73">[2]PCWBS1!#REF!</definedName>
    <definedName name="PCWBS8" localSheetId="17">[2]PCWBS1!#REF!</definedName>
    <definedName name="PCWBS8" localSheetId="22">[4]PCWBS1!#REF!</definedName>
    <definedName name="PCWBS8" localSheetId="27">[2]PCWBS1!#REF!</definedName>
    <definedName name="PCWBS8" localSheetId="32">[2]PCWBS1!#REF!</definedName>
    <definedName name="PCWBS8" localSheetId="36">[3]PCWBS1!#REF!</definedName>
    <definedName name="PCWBS8" localSheetId="40">[3]PCWBS1!#REF!</definedName>
    <definedName name="PCWBS8" localSheetId="9">[2]PCWBS1!#REF!</definedName>
    <definedName name="PCWBS8" localSheetId="42">[2]PCWBS1!#REF!</definedName>
    <definedName name="PCWBS8" localSheetId="47">[2]PCWBS1!#REF!</definedName>
    <definedName name="PCWBS8" localSheetId="52">[2]PCWBS1!#REF!</definedName>
    <definedName name="PCWBS8" localSheetId="57">[2]PCWBS1!#REF!</definedName>
    <definedName name="PCWBS8" localSheetId="62">[2]PCWBS1!#REF!</definedName>
    <definedName name="PCWBS8" localSheetId="66">[2]PCWBS1!#REF!</definedName>
    <definedName name="PCWBS8" localSheetId="71">[2]PCWBS1!#REF!</definedName>
    <definedName name="PCWBS8" localSheetId="14">[2]PCWBS1!#REF!</definedName>
    <definedName name="PCWBS8" localSheetId="19">[2]PCWBS1!#REF!</definedName>
    <definedName name="PCWBS8" localSheetId="24">[2]PCWBS1!#REF!</definedName>
    <definedName name="PCWBS8" localSheetId="29">[2]PCWBS1!#REF!</definedName>
    <definedName name="PCWBS8" localSheetId="34">[2]PCWBS1!#REF!</definedName>
    <definedName name="PCWBS8" localSheetId="38">[2]PCWBS1!#REF!</definedName>
    <definedName name="PCWBS8" localSheetId="74">[2]PCWBS1!#REF!</definedName>
    <definedName name="PCWBS9" localSheetId="44">[2]PCWBS1!#REF!</definedName>
    <definedName name="PCWBS9" localSheetId="48">[2]PCWBS1!#REF!</definedName>
    <definedName name="PCWBS9" localSheetId="53">[2]PCWBS1!#REF!</definedName>
    <definedName name="PCWBS9" localSheetId="58">[2]PCWBS1!#REF!</definedName>
    <definedName name="PCWBS9" localSheetId="67">[2]PCWBS1!#REF!</definedName>
    <definedName name="PCWBS9" localSheetId="16">[2]PCWBS1!#REF!</definedName>
    <definedName name="PCWBS9" localSheetId="21">[2]PCWBS1!#REF!</definedName>
    <definedName name="PCWBS9" localSheetId="26">[2]PCWBS1!#REF!</definedName>
    <definedName name="PCWBS9" localSheetId="31">[2]PCWBS1!#REF!</definedName>
    <definedName name="PCWBS9" localSheetId="2">[2]PCWBS1!#REF!</definedName>
    <definedName name="PCWBS9" localSheetId="3">[2]PCWBS1!#REF!</definedName>
    <definedName name="PCWBS9" localSheetId="4">[2]PCWBS1!#REF!</definedName>
    <definedName name="PCWBS9" localSheetId="5">[2]PCWBS1!#REF!</definedName>
    <definedName name="PCWBS9" localSheetId="12">[2]PCWBS1!#REF!</definedName>
    <definedName name="PCWBS9" localSheetId="45">[3]PCWBS1!#REF!</definedName>
    <definedName name="PCWBS9" localSheetId="50">[2]PCWBS1!#REF!</definedName>
    <definedName name="PCWBS9" localSheetId="55">[2]PCWBS1!#REF!</definedName>
    <definedName name="PCWBS9" localSheetId="60">[2]PCWBS1!#REF!</definedName>
    <definedName name="PCWBS9" localSheetId="64">[2]PCWBS1!#REF!</definedName>
    <definedName name="PCWBS9" localSheetId="69">[2]PCWBS1!#REF!</definedName>
    <definedName name="PCWBS9" localSheetId="73">[2]PCWBS1!#REF!</definedName>
    <definedName name="PCWBS9" localSheetId="17">[2]PCWBS1!#REF!</definedName>
    <definedName name="PCWBS9" localSheetId="22">[4]PCWBS1!#REF!</definedName>
    <definedName name="PCWBS9" localSheetId="27">[2]PCWBS1!#REF!</definedName>
    <definedName name="PCWBS9" localSheetId="32">[2]PCWBS1!#REF!</definedName>
    <definedName name="PCWBS9" localSheetId="36">[3]PCWBS1!#REF!</definedName>
    <definedName name="PCWBS9" localSheetId="40">[3]PCWBS1!#REF!</definedName>
    <definedName name="PCWBS9" localSheetId="9">[2]PCWBS1!#REF!</definedName>
    <definedName name="PCWBS9" localSheetId="42">[2]PCWBS1!#REF!</definedName>
    <definedName name="PCWBS9" localSheetId="47">[2]PCWBS1!#REF!</definedName>
    <definedName name="PCWBS9" localSheetId="52">[2]PCWBS1!#REF!</definedName>
    <definedName name="PCWBS9" localSheetId="57">[2]PCWBS1!#REF!</definedName>
    <definedName name="PCWBS9" localSheetId="62">[2]PCWBS1!#REF!</definedName>
    <definedName name="PCWBS9" localSheetId="66">[2]PCWBS1!#REF!</definedName>
    <definedName name="PCWBS9" localSheetId="71">[2]PCWBS1!#REF!</definedName>
    <definedName name="PCWBS9" localSheetId="14">[2]PCWBS1!#REF!</definedName>
    <definedName name="PCWBS9" localSheetId="19">[2]PCWBS1!#REF!</definedName>
    <definedName name="PCWBS9" localSheetId="24">[2]PCWBS1!#REF!</definedName>
    <definedName name="PCWBS9" localSheetId="29">[2]PCWBS1!#REF!</definedName>
    <definedName name="PCWBS9" localSheetId="34">[2]PCWBS1!#REF!</definedName>
    <definedName name="PCWBS9" localSheetId="38">[2]PCWBS1!#REF!</definedName>
    <definedName name="PCWBS9" localSheetId="74">[2]PCWBS1!#REF!</definedName>
    <definedName name="_xlnm.Print_Area" localSheetId="2">'برش استانی هدف کلی 1'!$A$1:$I$35</definedName>
    <definedName name="_xlnm.Print_Area" localSheetId="3">'برش استانی هدف کلی 2'!$A$1:$I$35</definedName>
    <definedName name="_xlnm.Print_Area" localSheetId="4">'برش استانی هدف کلی 3'!$A$1:$I$35</definedName>
    <definedName name="_xlnm.Print_Area" localSheetId="5">'برش استانی هدف کلی 4'!$A$1:$I$35</definedName>
    <definedName name="_xlnm.Print_Area" localSheetId="74">'نرخ تسهیم برنامه اجرایی'!$A$1:$I$34</definedName>
    <definedName name="اصلاحيه_اول" localSheetId="44">'[5]فرم شماره 3.1'!#REF!</definedName>
    <definedName name="اصلاحيه_اول" localSheetId="48">'[6]فرم شماره 3.1'!#REF!</definedName>
    <definedName name="اصلاحيه_اول" localSheetId="53">'[5]فرم شماره 3.1'!#REF!</definedName>
    <definedName name="اصلاحيه_اول" localSheetId="58">'[6]فرم شماره 3.1'!#REF!</definedName>
    <definedName name="اصلاحيه_اول" localSheetId="67">'[5]فرم شماره 3.1'!#REF!</definedName>
    <definedName name="اصلاحيه_اول" localSheetId="16">'[5]فرم شماره 3.1'!#REF!</definedName>
    <definedName name="اصلاحيه_اول" localSheetId="21">'[5]فرم شماره 3.1'!#REF!</definedName>
    <definedName name="اصلاحيه_اول" localSheetId="26">'[5]فرم شماره 3.1'!#REF!</definedName>
    <definedName name="اصلاحيه_اول" localSheetId="31">'[5]فرم شماره 3.1'!#REF!</definedName>
    <definedName name="اصلاحيه_اول" localSheetId="12">'[6]فرم شماره 3.1'!#REF!</definedName>
    <definedName name="اصلاحيه_اول" localSheetId="45">'[7]فرم شماره 3.1'!#REF!</definedName>
    <definedName name="اصلاحيه_اول" localSheetId="50">'[6]فرم شماره 3.1'!#REF!</definedName>
    <definedName name="اصلاحيه_اول" localSheetId="55">'[6]فرم شماره 3.1'!#REF!</definedName>
    <definedName name="اصلاحيه_اول" localSheetId="60">'[6]فرم شماره 3.1'!#REF!</definedName>
    <definedName name="اصلاحيه_اول" localSheetId="64">'[6]فرم شماره 3.1'!#REF!</definedName>
    <definedName name="اصلاحيه_اول" localSheetId="69">'[6]فرم شماره 3.1'!#REF!</definedName>
    <definedName name="اصلاحيه_اول" localSheetId="73">'[6]فرم شماره 3.1'!#REF!</definedName>
    <definedName name="اصلاحيه_اول" localSheetId="17">'[6]فرم شماره 3.1'!#REF!</definedName>
    <definedName name="اصلاحيه_اول" localSheetId="22">'[8]فرم شماره 3.1'!#REF!</definedName>
    <definedName name="اصلاحيه_اول" localSheetId="27">'[6]فرم شماره 3.1'!#REF!</definedName>
    <definedName name="اصلاحيه_اول" localSheetId="32">'[6]فرم شماره 3.1'!#REF!</definedName>
    <definedName name="اصلاحيه_اول" localSheetId="36">'[7]فرم شماره 3.1'!#REF!</definedName>
    <definedName name="اصلاحيه_اول" localSheetId="40">'[7]فرم شماره 3.1'!#REF!</definedName>
    <definedName name="اصلاحيه_اول" localSheetId="9">'[6]فرم شماره 3.1'!#REF!</definedName>
    <definedName name="اصلاحيه_اول" localSheetId="42">'[7]فرم شماره 3.1'!#REF!</definedName>
    <definedName name="اصلاحيه_اول" localSheetId="47">'[6]فرم شماره 3.1'!#REF!</definedName>
    <definedName name="اصلاحيه_اول" localSheetId="52">'[7]فرم شماره 3.1'!#REF!</definedName>
    <definedName name="اصلاحيه_اول" localSheetId="57">'[6]فرم شماره 3.1'!#REF!</definedName>
    <definedName name="اصلاحيه_اول" localSheetId="62">'[6]فرم شماره 3.1'!#REF!</definedName>
    <definedName name="اصلاحيه_اول" localSheetId="66">'[6]فرم شماره 3.1'!#REF!</definedName>
    <definedName name="اصلاحيه_اول" localSheetId="71">'[6]فرم شماره 3.1'!#REF!</definedName>
    <definedName name="اصلاحيه_اول" localSheetId="14">'[6]فرم شماره 3.1'!#REF!</definedName>
    <definedName name="اصلاحيه_اول" localSheetId="19">'[6]فرم شماره 3.1'!#REF!</definedName>
    <definedName name="اصلاحيه_اول" localSheetId="24">'[6]فرم شماره 3.1'!#REF!</definedName>
    <definedName name="اصلاحيه_اول" localSheetId="29">'[6]فرم شماره 3.1'!#REF!</definedName>
    <definedName name="اصلاحيه_اول" localSheetId="34">'[7]فرم شماره 3.1'!#REF!</definedName>
    <definedName name="اصلاحيه_اول" localSheetId="38">'[7]فرم شماره 3.1'!#REF!</definedName>
    <definedName name="اصلی" localSheetId="44">#REF!</definedName>
    <definedName name="اصلی" localSheetId="48">#REF!</definedName>
    <definedName name="اصلی" localSheetId="53">#REF!</definedName>
    <definedName name="اصلی" localSheetId="58">#REF!</definedName>
    <definedName name="اصلی" localSheetId="67">#REF!</definedName>
    <definedName name="اصلی" localSheetId="16">#REF!</definedName>
    <definedName name="اصلی" localSheetId="21">#REF!</definedName>
    <definedName name="اصلی" localSheetId="26">#REF!</definedName>
    <definedName name="اصلی" localSheetId="31">#REF!</definedName>
    <definedName name="اصلی" localSheetId="41">#REF!</definedName>
    <definedName name="اصلی" localSheetId="46">#REF!</definedName>
    <definedName name="اصلی" localSheetId="56">#REF!</definedName>
    <definedName name="اصلی" localSheetId="70">#REF!</definedName>
    <definedName name="اصلی" localSheetId="18">#REF!</definedName>
    <definedName name="اصلی" localSheetId="23">#REF!</definedName>
    <definedName name="اصلی" localSheetId="37">#REF!</definedName>
    <definedName name="اصلی" localSheetId="2">#REF!</definedName>
    <definedName name="اصلی" localSheetId="3">#REF!</definedName>
    <definedName name="اصلی" localSheetId="4">#REF!</definedName>
    <definedName name="اصلی" localSheetId="5">#REF!</definedName>
    <definedName name="اصلی" localSheetId="12">#REF!</definedName>
    <definedName name="اصلی" localSheetId="45">#REF!</definedName>
    <definedName name="اصلی" localSheetId="50">#REF!</definedName>
    <definedName name="اصلی" localSheetId="55">#REF!</definedName>
    <definedName name="اصلی" localSheetId="60">#REF!</definedName>
    <definedName name="اصلی" localSheetId="64">#REF!</definedName>
    <definedName name="اصلی" localSheetId="69">#REF!</definedName>
    <definedName name="اصلی" localSheetId="73">#REF!</definedName>
    <definedName name="اصلی" localSheetId="17">#REF!</definedName>
    <definedName name="اصلی" localSheetId="22">#REF!</definedName>
    <definedName name="اصلی" localSheetId="27">#REF!</definedName>
    <definedName name="اصلی" localSheetId="32">#REF!</definedName>
    <definedName name="اصلی" localSheetId="36">#REF!</definedName>
    <definedName name="اصلی" localSheetId="40">#REF!</definedName>
    <definedName name="اصلی" localSheetId="9">#REF!</definedName>
    <definedName name="اصلی" localSheetId="42">#REF!</definedName>
    <definedName name="اصلی" localSheetId="47">#REF!</definedName>
    <definedName name="اصلی" localSheetId="52">#REF!</definedName>
    <definedName name="اصلی" localSheetId="57">#REF!</definedName>
    <definedName name="اصلی" localSheetId="62">#REF!</definedName>
    <definedName name="اصلی" localSheetId="66">#REF!</definedName>
    <definedName name="اصلی" localSheetId="71">#REF!</definedName>
    <definedName name="اصلی" localSheetId="14">#REF!</definedName>
    <definedName name="اصلی" localSheetId="19">#REF!</definedName>
    <definedName name="اصلی" localSheetId="24">#REF!</definedName>
    <definedName name="اصلی" localSheetId="29">#REF!</definedName>
    <definedName name="اصلی" localSheetId="34">#REF!</definedName>
    <definedName name="اصلی" localSheetId="38">#REF!</definedName>
    <definedName name="اصلی" localSheetId="74">#REF!</definedName>
    <definedName name="ب97" localSheetId="44">#REF!</definedName>
    <definedName name="ب97" localSheetId="48">#REF!</definedName>
    <definedName name="ب97" localSheetId="53">#REF!</definedName>
    <definedName name="ب97" localSheetId="58">#REF!</definedName>
    <definedName name="ب97" localSheetId="67">#REF!</definedName>
    <definedName name="ب97" localSheetId="16">#REF!</definedName>
    <definedName name="ب97" localSheetId="21">#REF!</definedName>
    <definedName name="ب97" localSheetId="26">#REF!</definedName>
    <definedName name="ب97" localSheetId="31">#REF!</definedName>
    <definedName name="ب97" localSheetId="41">#REF!</definedName>
    <definedName name="ب97" localSheetId="46">#REF!</definedName>
    <definedName name="ب97" localSheetId="56">#REF!</definedName>
    <definedName name="ب97" localSheetId="70">#REF!</definedName>
    <definedName name="ب97" localSheetId="18">#REF!</definedName>
    <definedName name="ب97" localSheetId="23">#REF!</definedName>
    <definedName name="ب97" localSheetId="37">#REF!</definedName>
    <definedName name="ب97" localSheetId="2">#REF!</definedName>
    <definedName name="ب97" localSheetId="3">#REF!</definedName>
    <definedName name="ب97" localSheetId="4">#REF!</definedName>
    <definedName name="ب97" localSheetId="5">#REF!</definedName>
    <definedName name="ب97" localSheetId="12">#REF!</definedName>
    <definedName name="ب97" localSheetId="45">#REF!</definedName>
    <definedName name="ب97" localSheetId="50">#REF!</definedName>
    <definedName name="ب97" localSheetId="55">#REF!</definedName>
    <definedName name="ب97" localSheetId="60">#REF!</definedName>
    <definedName name="ب97" localSheetId="64">#REF!</definedName>
    <definedName name="ب97" localSheetId="69">#REF!</definedName>
    <definedName name="ب97" localSheetId="73">#REF!</definedName>
    <definedName name="ب97" localSheetId="17">#REF!</definedName>
    <definedName name="ب97" localSheetId="22">#REF!</definedName>
    <definedName name="ب97" localSheetId="27">#REF!</definedName>
    <definedName name="ب97" localSheetId="32">#REF!</definedName>
    <definedName name="ب97" localSheetId="36">#REF!</definedName>
    <definedName name="ب97" localSheetId="40">#REF!</definedName>
    <definedName name="ب97" localSheetId="9">#REF!</definedName>
    <definedName name="ب97" localSheetId="42">#REF!</definedName>
    <definedName name="ب97" localSheetId="47">#REF!</definedName>
    <definedName name="ب97" localSheetId="52">#REF!</definedName>
    <definedName name="ب97" localSheetId="57">#REF!</definedName>
    <definedName name="ب97" localSheetId="62">#REF!</definedName>
    <definedName name="ب97" localSheetId="66">#REF!</definedName>
    <definedName name="ب97" localSheetId="71">#REF!</definedName>
    <definedName name="ب97" localSheetId="14">#REF!</definedName>
    <definedName name="ب97" localSheetId="19">#REF!</definedName>
    <definedName name="ب97" localSheetId="24">#REF!</definedName>
    <definedName name="ب97" localSheetId="29">#REF!</definedName>
    <definedName name="ب97" localSheetId="34">#REF!</definedName>
    <definedName name="ب97" localSheetId="38">#REF!</definedName>
    <definedName name="ب97" localSheetId="74">#REF!</definedName>
    <definedName name="بلاتا" localSheetId="44">#REF!</definedName>
    <definedName name="بلاتا" localSheetId="48">#REF!</definedName>
    <definedName name="بلاتا" localSheetId="53">#REF!</definedName>
    <definedName name="بلاتا" localSheetId="58">#REF!</definedName>
    <definedName name="بلاتا" localSheetId="67">#REF!</definedName>
    <definedName name="بلاتا" localSheetId="16">#REF!</definedName>
    <definedName name="بلاتا" localSheetId="21">#REF!</definedName>
    <definedName name="بلاتا" localSheetId="26">#REF!</definedName>
    <definedName name="بلاتا" localSheetId="31">#REF!</definedName>
    <definedName name="بلاتا" localSheetId="41">#REF!</definedName>
    <definedName name="بلاتا" localSheetId="46">#REF!</definedName>
    <definedName name="بلاتا" localSheetId="56">#REF!</definedName>
    <definedName name="بلاتا" localSheetId="70">#REF!</definedName>
    <definedName name="بلاتا" localSheetId="18">#REF!</definedName>
    <definedName name="بلاتا" localSheetId="23">#REF!</definedName>
    <definedName name="بلاتا" localSheetId="37">#REF!</definedName>
    <definedName name="بلاتا" localSheetId="2">#REF!</definedName>
    <definedName name="بلاتا" localSheetId="3">#REF!</definedName>
    <definedName name="بلاتا" localSheetId="4">#REF!</definedName>
    <definedName name="بلاتا" localSheetId="5">#REF!</definedName>
    <definedName name="بلاتا" localSheetId="12">#REF!</definedName>
    <definedName name="بلاتا" localSheetId="45">#REF!</definedName>
    <definedName name="بلاتا" localSheetId="50">#REF!</definedName>
    <definedName name="بلاتا" localSheetId="55">#REF!</definedName>
    <definedName name="بلاتا" localSheetId="60">#REF!</definedName>
    <definedName name="بلاتا" localSheetId="64">#REF!</definedName>
    <definedName name="بلاتا" localSheetId="69">#REF!</definedName>
    <definedName name="بلاتا" localSheetId="73">#REF!</definedName>
    <definedName name="بلاتا" localSheetId="17">#REF!</definedName>
    <definedName name="بلاتا" localSheetId="22">#REF!</definedName>
    <definedName name="بلاتا" localSheetId="27">#REF!</definedName>
    <definedName name="بلاتا" localSheetId="32">#REF!</definedName>
    <definedName name="بلاتا" localSheetId="36">#REF!</definedName>
    <definedName name="بلاتا" localSheetId="40">#REF!</definedName>
    <definedName name="بلاتا" localSheetId="9">#REF!</definedName>
    <definedName name="بلاتا" localSheetId="42">#REF!</definedName>
    <definedName name="بلاتا" localSheetId="47">#REF!</definedName>
    <definedName name="بلاتا" localSheetId="52">#REF!</definedName>
    <definedName name="بلاتا" localSheetId="57">#REF!</definedName>
    <definedName name="بلاتا" localSheetId="62">#REF!</definedName>
    <definedName name="بلاتا" localSheetId="66">#REF!</definedName>
    <definedName name="بلاتا" localSheetId="71">#REF!</definedName>
    <definedName name="بلاتا" localSheetId="14">#REF!</definedName>
    <definedName name="بلاتا" localSheetId="19">#REF!</definedName>
    <definedName name="بلاتا" localSheetId="24">#REF!</definedName>
    <definedName name="بلاتا" localSheetId="29">#REF!</definedName>
    <definedName name="بلاتا" localSheetId="34">#REF!</definedName>
    <definedName name="بلاتا" localSheetId="38">#REF!</definedName>
    <definedName name="بلاتا" localSheetId="74">#REF!</definedName>
    <definedName name="بیان" comment="برای" localSheetId="44">#REF!</definedName>
    <definedName name="بیان" comment="برای" localSheetId="48">#REF!</definedName>
    <definedName name="بیان" comment="برای" localSheetId="53">#REF!</definedName>
    <definedName name="بیان" comment="برای" localSheetId="58">#REF!</definedName>
    <definedName name="بیان" comment="برای" localSheetId="67">#REF!</definedName>
    <definedName name="بیان" comment="برای" localSheetId="16">#REF!</definedName>
    <definedName name="بیان" comment="برای" localSheetId="21">#REF!</definedName>
    <definedName name="بیان" comment="برای" localSheetId="26">#REF!</definedName>
    <definedName name="بیان" comment="برای" localSheetId="31">#REF!</definedName>
    <definedName name="بیان" comment="برای" localSheetId="41">#REF!</definedName>
    <definedName name="بیان" comment="برای" localSheetId="46">#REF!</definedName>
    <definedName name="بیان" comment="برای" localSheetId="56">#REF!</definedName>
    <definedName name="بیان" comment="برای" localSheetId="70">#REF!</definedName>
    <definedName name="بیان" comment="برای" localSheetId="18">#REF!</definedName>
    <definedName name="بیان" comment="برای" localSheetId="23">#REF!</definedName>
    <definedName name="بیان" comment="برای" localSheetId="37">#REF!</definedName>
    <definedName name="بیان" comment="برای" localSheetId="2">#REF!</definedName>
    <definedName name="بیان" comment="برای" localSheetId="3">#REF!</definedName>
    <definedName name="بیان" comment="برای" localSheetId="4">#REF!</definedName>
    <definedName name="بیان" comment="برای" localSheetId="5">#REF!</definedName>
    <definedName name="بیان" comment="برای" localSheetId="12">#REF!</definedName>
    <definedName name="بیان" comment="برای" localSheetId="45">#REF!</definedName>
    <definedName name="بیان" comment="برای" localSheetId="50">#REF!</definedName>
    <definedName name="بیان" comment="برای" localSheetId="55">#REF!</definedName>
    <definedName name="بیان" comment="برای" localSheetId="60">#REF!</definedName>
    <definedName name="بیان" comment="برای" localSheetId="64">#REF!</definedName>
    <definedName name="بیان" comment="برای" localSheetId="69">#REF!</definedName>
    <definedName name="بیان" comment="برای" localSheetId="73">#REF!</definedName>
    <definedName name="بیان" comment="برای" localSheetId="17">#REF!</definedName>
    <definedName name="بیان" localSheetId="22">#REF!</definedName>
    <definedName name="بیان" comment="برای" localSheetId="27">#REF!</definedName>
    <definedName name="بیان" comment="برای" localSheetId="32">#REF!</definedName>
    <definedName name="بیان" comment="برای" localSheetId="36">#REF!</definedName>
    <definedName name="بیان" comment="برای" localSheetId="40">#REF!</definedName>
    <definedName name="بیان" comment="برای" localSheetId="9">#REF!</definedName>
    <definedName name="بیان" comment="برای" localSheetId="42">#REF!</definedName>
    <definedName name="بیان" comment="برای" localSheetId="47">#REF!</definedName>
    <definedName name="بیان" comment="برای" localSheetId="52">#REF!</definedName>
    <definedName name="بیان" comment="برای" localSheetId="57">#REF!</definedName>
    <definedName name="بیان" comment="برای" localSheetId="62">#REF!</definedName>
    <definedName name="بیان" comment="برای" localSheetId="66">#REF!</definedName>
    <definedName name="بیان" comment="برای" localSheetId="71">#REF!</definedName>
    <definedName name="بیان" comment="برای" localSheetId="14">#REF!</definedName>
    <definedName name="بیان" comment="برای" localSheetId="19">#REF!</definedName>
    <definedName name="بیان" comment="برای" localSheetId="24">#REF!</definedName>
    <definedName name="بیان" comment="برای" localSheetId="29">#REF!</definedName>
    <definedName name="بیان" comment="برای" localSheetId="34">#REF!</definedName>
    <definedName name="بیان" comment="برای" localSheetId="38">#REF!</definedName>
    <definedName name="بیان" comment="برای" localSheetId="74">#REF!</definedName>
    <definedName name="دفتر_دارو_و_درمان" localSheetId="44">#REF!</definedName>
    <definedName name="دفتر_دارو_و_درمان" localSheetId="48">#REF!</definedName>
    <definedName name="دفتر_دارو_و_درمان" localSheetId="53">#REF!</definedName>
    <definedName name="دفتر_دارو_و_درمان" localSheetId="58">#REF!</definedName>
    <definedName name="دفتر_دارو_و_درمان" localSheetId="67">#REF!</definedName>
    <definedName name="دفتر_دارو_و_درمان" localSheetId="16">#REF!</definedName>
    <definedName name="دفتر_دارو_و_درمان" localSheetId="21">#REF!</definedName>
    <definedName name="دفتر_دارو_و_درمان" localSheetId="26">#REF!</definedName>
    <definedName name="دفتر_دارو_و_درمان" localSheetId="31">#REF!</definedName>
    <definedName name="دفتر_دارو_و_درمان" localSheetId="41">#REF!</definedName>
    <definedName name="دفتر_دارو_و_درمان" localSheetId="46">#REF!</definedName>
    <definedName name="دفتر_دارو_و_درمان" localSheetId="56">#REF!</definedName>
    <definedName name="دفتر_دارو_و_درمان" localSheetId="70">#REF!</definedName>
    <definedName name="دفتر_دارو_و_درمان" localSheetId="18">#REF!</definedName>
    <definedName name="دفتر_دارو_و_درمان" localSheetId="23">#REF!</definedName>
    <definedName name="دفتر_دارو_و_درمان" localSheetId="37">#REF!</definedName>
    <definedName name="دفتر_دارو_و_درمان" localSheetId="2">#REF!</definedName>
    <definedName name="دفتر_دارو_و_درمان" localSheetId="3">#REF!</definedName>
    <definedName name="دفتر_دارو_و_درمان" localSheetId="4">#REF!</definedName>
    <definedName name="دفتر_دارو_و_درمان" localSheetId="5">#REF!</definedName>
    <definedName name="دفتر_دارو_و_درمان" localSheetId="12">#REF!</definedName>
    <definedName name="دفتر_دارو_و_درمان" localSheetId="45">#REF!</definedName>
    <definedName name="دفتر_دارو_و_درمان" localSheetId="50">#REF!</definedName>
    <definedName name="دفتر_دارو_و_درمان" localSheetId="55">#REF!</definedName>
    <definedName name="دفتر_دارو_و_درمان" localSheetId="60">#REF!</definedName>
    <definedName name="دفتر_دارو_و_درمان" localSheetId="64">#REF!</definedName>
    <definedName name="دفتر_دارو_و_درمان" localSheetId="69">#REF!</definedName>
    <definedName name="دفتر_دارو_و_درمان" localSheetId="73">#REF!</definedName>
    <definedName name="دفتر_دارو_و_درمان" localSheetId="17">#REF!</definedName>
    <definedName name="دفتر_دارو_و_درمان" localSheetId="22">#REF!</definedName>
    <definedName name="دفتر_دارو_و_درمان" localSheetId="27">#REF!</definedName>
    <definedName name="دفتر_دارو_و_درمان" localSheetId="32">#REF!</definedName>
    <definedName name="دفتر_دارو_و_درمان" localSheetId="36">#REF!</definedName>
    <definedName name="دفتر_دارو_و_درمان" localSheetId="40">#REF!</definedName>
    <definedName name="دفتر_دارو_و_درمان" localSheetId="9">#REF!</definedName>
    <definedName name="دفتر_دارو_و_درمان" localSheetId="42">#REF!</definedName>
    <definedName name="دفتر_دارو_و_درمان" localSheetId="47">#REF!</definedName>
    <definedName name="دفتر_دارو_و_درمان" localSheetId="52">#REF!</definedName>
    <definedName name="دفتر_دارو_و_درمان" localSheetId="57">#REF!</definedName>
    <definedName name="دفتر_دارو_و_درمان" localSheetId="62">#REF!</definedName>
    <definedName name="دفتر_دارو_و_درمان" localSheetId="66">#REF!</definedName>
    <definedName name="دفتر_دارو_و_درمان" localSheetId="71">#REF!</definedName>
    <definedName name="دفتر_دارو_و_درمان" localSheetId="14">#REF!</definedName>
    <definedName name="دفتر_دارو_و_درمان" localSheetId="19">#REF!</definedName>
    <definedName name="دفتر_دارو_و_درمان" localSheetId="24">#REF!</definedName>
    <definedName name="دفتر_دارو_و_درمان" localSheetId="29">#REF!</definedName>
    <definedName name="دفتر_دارو_و_درمان" localSheetId="34">#REF!</definedName>
    <definedName name="دفتر_دارو_و_درمان" localSheetId="38">#REF!</definedName>
    <definedName name="دفتر_دارو_و_درمان" localSheetId="74">#REF!</definedName>
    <definedName name="ذتنذد" localSheetId="44">'[9]فرم شماره 3.1'!#REF!</definedName>
    <definedName name="ذتنذد" localSheetId="48">'[10]فرم شماره 3.1'!#REF!</definedName>
    <definedName name="ذتنذد" localSheetId="53">'[9]فرم شماره 3.1'!#REF!</definedName>
    <definedName name="ذتنذد" localSheetId="58">'[10]فرم شماره 3.1'!#REF!</definedName>
    <definedName name="ذتنذد" localSheetId="67">'[9]فرم شماره 3.1'!#REF!</definedName>
    <definedName name="ذتنذد" localSheetId="16">'[9]فرم شماره 3.1'!#REF!</definedName>
    <definedName name="ذتنذد" localSheetId="21">'[9]فرم شماره 3.1'!#REF!</definedName>
    <definedName name="ذتنذد" localSheetId="26">'[9]فرم شماره 3.1'!#REF!</definedName>
    <definedName name="ذتنذد" localSheetId="31">'[9]فرم شماره 3.1'!#REF!</definedName>
    <definedName name="ذتنذد" localSheetId="2">'[9]فرم شماره 3.1'!#REF!</definedName>
    <definedName name="ذتنذد" localSheetId="3">'[9]فرم شماره 3.1'!#REF!</definedName>
    <definedName name="ذتنذد" localSheetId="4">'[9]فرم شماره 3.1'!#REF!</definedName>
    <definedName name="ذتنذد" localSheetId="5">'[9]فرم شماره 3.1'!#REF!</definedName>
    <definedName name="ذتنذد" localSheetId="12">'[10]فرم شماره 3.1'!#REF!</definedName>
    <definedName name="ذتنذد" localSheetId="45">'[11]فرم شماره 3.1'!#REF!</definedName>
    <definedName name="ذتنذد" localSheetId="50">'[10]فرم شماره 3.1'!#REF!</definedName>
    <definedName name="ذتنذد" localSheetId="55">'[10]فرم شماره 3.1'!#REF!</definedName>
    <definedName name="ذتنذد" localSheetId="60">'[10]فرم شماره 3.1'!#REF!</definedName>
    <definedName name="ذتنذد" localSheetId="64">'[10]فرم شماره 3.1'!#REF!</definedName>
    <definedName name="ذتنذد" localSheetId="69">'[10]فرم شماره 3.1'!#REF!</definedName>
    <definedName name="ذتنذد" localSheetId="73">'[10]فرم شماره 3.1'!#REF!</definedName>
    <definedName name="ذتنذد" localSheetId="17">'[10]فرم شماره 3.1'!#REF!</definedName>
    <definedName name="ذتنذد" localSheetId="22">'[12]فرم شماره 3.1'!#REF!</definedName>
    <definedName name="ذتنذد" localSheetId="27">'[10]فرم شماره 3.1'!#REF!</definedName>
    <definedName name="ذتنذد" localSheetId="32">'[10]فرم شماره 3.1'!#REF!</definedName>
    <definedName name="ذتنذد" localSheetId="36">'[11]فرم شماره 3.1'!#REF!</definedName>
    <definedName name="ذتنذد" localSheetId="40">'[11]فرم شماره 3.1'!#REF!</definedName>
    <definedName name="ذتنذد" localSheetId="9">'[10]فرم شماره 3.1'!#REF!</definedName>
    <definedName name="ذتنذد" localSheetId="42">'[11]فرم شماره 3.1'!#REF!</definedName>
    <definedName name="ذتنذد" localSheetId="47">'[10]فرم شماره 3.1'!#REF!</definedName>
    <definedName name="ذتنذد" localSheetId="52">'[11]فرم شماره 3.1'!#REF!</definedName>
    <definedName name="ذتنذد" localSheetId="57">'[10]فرم شماره 3.1'!#REF!</definedName>
    <definedName name="ذتنذد" localSheetId="62">'[10]فرم شماره 3.1'!#REF!</definedName>
    <definedName name="ذتنذد" localSheetId="66">'[10]فرم شماره 3.1'!#REF!</definedName>
    <definedName name="ذتنذد" localSheetId="71">'[10]فرم شماره 3.1'!#REF!</definedName>
    <definedName name="ذتنذد" localSheetId="14">'[10]فرم شماره 3.1'!#REF!</definedName>
    <definedName name="ذتنذد" localSheetId="19">'[10]فرم شماره 3.1'!#REF!</definedName>
    <definedName name="ذتنذد" localSheetId="24">'[10]فرم شماره 3.1'!#REF!</definedName>
    <definedName name="ذتنذد" localSheetId="29">'[10]فرم شماره 3.1'!#REF!</definedName>
    <definedName name="ذتنذد" localSheetId="34">'[11]فرم شماره 3.1'!#REF!</definedName>
    <definedName name="ذتنذد" localSheetId="38">'[11]فرم شماره 3.1'!#REF!</definedName>
    <definedName name="ذتنذد" localSheetId="74">'[9]فرم شماره 3.1'!#REF!</definedName>
    <definedName name="ششش" localSheetId="44">#REF!</definedName>
    <definedName name="ششش" localSheetId="48">#REF!</definedName>
    <definedName name="ششش" localSheetId="53">#REF!</definedName>
    <definedName name="ششش" localSheetId="58">#REF!</definedName>
    <definedName name="ششش" localSheetId="67">#REF!</definedName>
    <definedName name="ششش" localSheetId="16">#REF!</definedName>
    <definedName name="ششش" localSheetId="21">#REF!</definedName>
    <definedName name="ششش" localSheetId="26">#REF!</definedName>
    <definedName name="ششش" localSheetId="31">#REF!</definedName>
    <definedName name="ششش" localSheetId="41">#REF!</definedName>
    <definedName name="ششش" localSheetId="46">#REF!</definedName>
    <definedName name="ششش" localSheetId="56">#REF!</definedName>
    <definedName name="ششش" localSheetId="70">#REF!</definedName>
    <definedName name="ششش" localSheetId="18">#REF!</definedName>
    <definedName name="ششش" localSheetId="23">#REF!</definedName>
    <definedName name="ششش" localSheetId="37">#REF!</definedName>
    <definedName name="ششش" localSheetId="2">#REF!</definedName>
    <definedName name="ششش" localSheetId="3">#REF!</definedName>
    <definedName name="ششش" localSheetId="4">#REF!</definedName>
    <definedName name="ششش" localSheetId="5">#REF!</definedName>
    <definedName name="ششش" localSheetId="12">#REF!</definedName>
    <definedName name="ششش" localSheetId="45">#REF!</definedName>
    <definedName name="ششش" localSheetId="50">#REF!</definedName>
    <definedName name="ششش" localSheetId="55">#REF!</definedName>
    <definedName name="ششش" localSheetId="60">#REF!</definedName>
    <definedName name="ششش" localSheetId="64">#REF!</definedName>
    <definedName name="ششش" localSheetId="69">#REF!</definedName>
    <definedName name="ششش" localSheetId="73">#REF!</definedName>
    <definedName name="ششش" localSheetId="17">#REF!</definedName>
    <definedName name="ششش" localSheetId="22">#REF!</definedName>
    <definedName name="ششش" localSheetId="27">#REF!</definedName>
    <definedName name="ششش" localSheetId="32">#REF!</definedName>
    <definedName name="ششش" localSheetId="36">#REF!</definedName>
    <definedName name="ششش" localSheetId="40">#REF!</definedName>
    <definedName name="ششش" localSheetId="9">#REF!</definedName>
    <definedName name="ششش" localSheetId="42">#REF!</definedName>
    <definedName name="ششش" localSheetId="47">#REF!</definedName>
    <definedName name="ششش" localSheetId="52">#REF!</definedName>
    <definedName name="ششش" localSheetId="57">#REF!</definedName>
    <definedName name="ششش" localSheetId="62">#REF!</definedName>
    <definedName name="ششش" localSheetId="66">#REF!</definedName>
    <definedName name="ششش" localSheetId="71">#REF!</definedName>
    <definedName name="ششش" localSheetId="14">#REF!</definedName>
    <definedName name="ششش" localSheetId="19">#REF!</definedName>
    <definedName name="ششش" localSheetId="24">#REF!</definedName>
    <definedName name="ششش" localSheetId="29">#REF!</definedName>
    <definedName name="ششش" localSheetId="34">#REF!</definedName>
    <definedName name="ششش" localSheetId="38">#REF!</definedName>
    <definedName name="ششش" localSheetId="74">#REF!</definedName>
    <definedName name="ل228" localSheetId="44">#REF!</definedName>
    <definedName name="ل228" localSheetId="48">#REF!</definedName>
    <definedName name="ل228" localSheetId="53">#REF!</definedName>
    <definedName name="ل228" localSheetId="58">#REF!</definedName>
    <definedName name="ل228" localSheetId="67">#REF!</definedName>
    <definedName name="ل228" localSheetId="16">#REF!</definedName>
    <definedName name="ل228" localSheetId="21">#REF!</definedName>
    <definedName name="ل228" localSheetId="26">#REF!</definedName>
    <definedName name="ل228" localSheetId="31">#REF!</definedName>
    <definedName name="ل228" localSheetId="41">#REF!</definedName>
    <definedName name="ل228" localSheetId="46">#REF!</definedName>
    <definedName name="ل228" localSheetId="56">#REF!</definedName>
    <definedName name="ل228" localSheetId="70">#REF!</definedName>
    <definedName name="ل228" localSheetId="18">#REF!</definedName>
    <definedName name="ل228" localSheetId="23">#REF!</definedName>
    <definedName name="ل228" localSheetId="37">#REF!</definedName>
    <definedName name="ل228" localSheetId="2">#REF!</definedName>
    <definedName name="ل228" localSheetId="3">#REF!</definedName>
    <definedName name="ل228" localSheetId="4">#REF!</definedName>
    <definedName name="ل228" localSheetId="5">#REF!</definedName>
    <definedName name="ل228" localSheetId="12">#REF!</definedName>
    <definedName name="ل228" localSheetId="45">#REF!</definedName>
    <definedName name="ل228" localSheetId="50">#REF!</definedName>
    <definedName name="ل228" localSheetId="55">#REF!</definedName>
    <definedName name="ل228" localSheetId="60">#REF!</definedName>
    <definedName name="ل228" localSheetId="64">#REF!</definedName>
    <definedName name="ل228" localSheetId="69">#REF!</definedName>
    <definedName name="ل228" localSheetId="73">#REF!</definedName>
    <definedName name="ل228" localSheetId="17">#REF!</definedName>
    <definedName name="ل228" localSheetId="22">#REF!</definedName>
    <definedName name="ل228" localSheetId="27">#REF!</definedName>
    <definedName name="ل228" localSheetId="32">#REF!</definedName>
    <definedName name="ل228" localSheetId="36">#REF!</definedName>
    <definedName name="ل228" localSheetId="40">#REF!</definedName>
    <definedName name="ل228" localSheetId="9">#REF!</definedName>
    <definedName name="ل228" localSheetId="42">#REF!</definedName>
    <definedName name="ل228" localSheetId="47">#REF!</definedName>
    <definedName name="ل228" localSheetId="52">#REF!</definedName>
    <definedName name="ل228" localSheetId="57">#REF!</definedName>
    <definedName name="ل228" localSheetId="62">#REF!</definedName>
    <definedName name="ل228" localSheetId="66">#REF!</definedName>
    <definedName name="ل228" localSheetId="71">#REF!</definedName>
    <definedName name="ل228" localSheetId="14">#REF!</definedName>
    <definedName name="ل228" localSheetId="19">#REF!</definedName>
    <definedName name="ل228" localSheetId="24">#REF!</definedName>
    <definedName name="ل228" localSheetId="29">#REF!</definedName>
    <definedName name="ل228" localSheetId="34">#REF!</definedName>
    <definedName name="ل228" localSheetId="38">#REF!</definedName>
    <definedName name="ل228" localSheetId="74">#REF!</definedName>
    <definedName name="ل285" localSheetId="44">#REF!</definedName>
    <definedName name="ل285" localSheetId="48">#REF!</definedName>
    <definedName name="ل285" localSheetId="53">#REF!</definedName>
    <definedName name="ل285" localSheetId="58">#REF!</definedName>
    <definedName name="ل285" localSheetId="67">#REF!</definedName>
    <definedName name="ل285" localSheetId="16">#REF!</definedName>
    <definedName name="ل285" localSheetId="21">#REF!</definedName>
    <definedName name="ل285" localSheetId="26">#REF!</definedName>
    <definedName name="ل285" localSheetId="31">#REF!</definedName>
    <definedName name="ل285" localSheetId="41">#REF!</definedName>
    <definedName name="ل285" localSheetId="46">#REF!</definedName>
    <definedName name="ل285" localSheetId="56">#REF!</definedName>
    <definedName name="ل285" localSheetId="70">#REF!</definedName>
    <definedName name="ل285" localSheetId="18">#REF!</definedName>
    <definedName name="ل285" localSheetId="23">#REF!</definedName>
    <definedName name="ل285" localSheetId="37">#REF!</definedName>
    <definedName name="ل285" localSheetId="2">#REF!</definedName>
    <definedName name="ل285" localSheetId="3">#REF!</definedName>
    <definedName name="ل285" localSheetId="4">#REF!</definedName>
    <definedName name="ل285" localSheetId="5">#REF!</definedName>
    <definedName name="ل285" localSheetId="12">#REF!</definedName>
    <definedName name="ل285" localSheetId="45">#REF!</definedName>
    <definedName name="ل285" localSheetId="50">#REF!</definedName>
    <definedName name="ل285" localSheetId="55">#REF!</definedName>
    <definedName name="ل285" localSheetId="60">#REF!</definedName>
    <definedName name="ل285" localSheetId="64">#REF!</definedName>
    <definedName name="ل285" localSheetId="69">#REF!</definedName>
    <definedName name="ل285" localSheetId="73">#REF!</definedName>
    <definedName name="ل285" localSheetId="17">#REF!</definedName>
    <definedName name="ل285" localSheetId="22">#REF!</definedName>
    <definedName name="ل285" localSheetId="27">#REF!</definedName>
    <definedName name="ل285" localSheetId="32">#REF!</definedName>
    <definedName name="ل285" localSheetId="36">#REF!</definedName>
    <definedName name="ل285" localSheetId="40">#REF!</definedName>
    <definedName name="ل285" localSheetId="9">#REF!</definedName>
    <definedName name="ل285" localSheetId="42">#REF!</definedName>
    <definedName name="ل285" localSheetId="47">#REF!</definedName>
    <definedName name="ل285" localSheetId="52">#REF!</definedName>
    <definedName name="ل285" localSheetId="57">#REF!</definedName>
    <definedName name="ل285" localSheetId="62">#REF!</definedName>
    <definedName name="ل285" localSheetId="66">#REF!</definedName>
    <definedName name="ل285" localSheetId="71">#REF!</definedName>
    <definedName name="ل285" localSheetId="14">#REF!</definedName>
    <definedName name="ل285" localSheetId="19">#REF!</definedName>
    <definedName name="ل285" localSheetId="24">#REF!</definedName>
    <definedName name="ل285" localSheetId="29">#REF!</definedName>
    <definedName name="ل285" localSheetId="34">#REF!</definedName>
    <definedName name="ل285" localSheetId="38">#REF!</definedName>
    <definedName name="ل285" localSheetId="74">#REF!</definedName>
    <definedName name="یی" localSheetId="44">#REF!</definedName>
    <definedName name="یی" localSheetId="48">#REF!</definedName>
    <definedName name="یی" localSheetId="53">#REF!</definedName>
    <definedName name="یی" localSheetId="58">#REF!</definedName>
    <definedName name="یی" localSheetId="67">#REF!</definedName>
    <definedName name="یی" localSheetId="16">#REF!</definedName>
    <definedName name="یی" localSheetId="21">#REF!</definedName>
    <definedName name="یی" localSheetId="26">#REF!</definedName>
    <definedName name="یی" localSheetId="31">#REF!</definedName>
    <definedName name="یی" localSheetId="41">#REF!</definedName>
    <definedName name="یی" localSheetId="46">#REF!</definedName>
    <definedName name="یی" localSheetId="56">#REF!</definedName>
    <definedName name="یی" localSheetId="70">#REF!</definedName>
    <definedName name="یی" localSheetId="18">#REF!</definedName>
    <definedName name="یی" localSheetId="23">#REF!</definedName>
    <definedName name="یی" localSheetId="37">#REF!</definedName>
    <definedName name="یی" localSheetId="2">#REF!</definedName>
    <definedName name="یی" localSheetId="3">#REF!</definedName>
    <definedName name="یی" localSheetId="4">#REF!</definedName>
    <definedName name="یی" localSheetId="5">#REF!</definedName>
    <definedName name="یی" localSheetId="12">#REF!</definedName>
    <definedName name="یی" localSheetId="45">#REF!</definedName>
    <definedName name="یی" localSheetId="50">#REF!</definedName>
    <definedName name="یی" localSheetId="55">#REF!</definedName>
    <definedName name="یی" localSheetId="60">#REF!</definedName>
    <definedName name="یی" localSheetId="64">#REF!</definedName>
    <definedName name="یی" localSheetId="69">#REF!</definedName>
    <definedName name="یی" localSheetId="73">#REF!</definedName>
    <definedName name="یی" localSheetId="17">#REF!</definedName>
    <definedName name="یی" localSheetId="22">#REF!</definedName>
    <definedName name="یی" localSheetId="27">#REF!</definedName>
    <definedName name="یی" localSheetId="32">#REF!</definedName>
    <definedName name="یی" localSheetId="36">#REF!</definedName>
    <definedName name="یی" localSheetId="40">#REF!</definedName>
    <definedName name="یی" localSheetId="9">#REF!</definedName>
    <definedName name="یی" localSheetId="42">#REF!</definedName>
    <definedName name="یی" localSheetId="47">#REF!</definedName>
    <definedName name="یی" localSheetId="52">#REF!</definedName>
    <definedName name="یی" localSheetId="57">#REF!</definedName>
    <definedName name="یی" localSheetId="62">#REF!</definedName>
    <definedName name="یی" localSheetId="66">#REF!</definedName>
    <definedName name="یی" localSheetId="71">#REF!</definedName>
    <definedName name="یی" localSheetId="14">#REF!</definedName>
    <definedName name="یی" localSheetId="19">#REF!</definedName>
    <definedName name="یی" localSheetId="24">#REF!</definedName>
    <definedName name="یی" localSheetId="29">#REF!</definedName>
    <definedName name="یی" localSheetId="34">#REF!</definedName>
    <definedName name="یی" localSheetId="38">#REF!</definedName>
    <definedName name="یی" localSheetId="74">#REF!</definedName>
  </definedNames>
  <calcPr calcId="162913"/>
</workbook>
</file>

<file path=xl/calcChain.xml><?xml version="1.0" encoding="utf-8"?>
<calcChain xmlns="http://schemas.openxmlformats.org/spreadsheetml/2006/main">
  <c r="L64" i="101" l="1"/>
  <c r="L14" i="99"/>
  <c r="L58" i="98"/>
  <c r="L72" i="109"/>
  <c r="L42" i="100"/>
  <c r="E36" i="88" l="1"/>
  <c r="F36" i="88"/>
  <c r="G36" i="88"/>
  <c r="H36" i="88"/>
  <c r="I36" i="88"/>
  <c r="D36" i="88"/>
  <c r="E36" i="87"/>
  <c r="F36" i="87"/>
  <c r="G36" i="87"/>
  <c r="H36" i="87"/>
  <c r="I36" i="87"/>
  <c r="D36" i="87"/>
  <c r="E36" i="86"/>
  <c r="F36" i="86"/>
  <c r="G36" i="86"/>
  <c r="H36" i="86"/>
  <c r="I36" i="86"/>
  <c r="D36" i="86"/>
  <c r="H36" i="85"/>
  <c r="I36" i="85"/>
  <c r="G36" i="85"/>
  <c r="F36" i="85"/>
  <c r="E36" i="85"/>
  <c r="D36" i="85"/>
  <c r="F37" i="150" l="1"/>
  <c r="G26" i="149" l="1"/>
  <c r="D95" i="148" l="1"/>
  <c r="E95" i="148" s="1"/>
  <c r="D94" i="148"/>
  <c r="F21" i="148"/>
  <c r="F20" i="148"/>
  <c r="F19" i="148"/>
  <c r="F17" i="148"/>
  <c r="F16" i="148"/>
  <c r="F15" i="148"/>
  <c r="E94" i="148" l="1"/>
  <c r="F27" i="146"/>
  <c r="P79" i="145" l="1"/>
  <c r="P78" i="145"/>
  <c r="P77" i="145"/>
  <c r="P76" i="145"/>
  <c r="K76" i="145"/>
  <c r="P75" i="145"/>
  <c r="K75" i="145"/>
  <c r="P74" i="145"/>
  <c r="K74" i="145"/>
  <c r="P73" i="145"/>
  <c r="K73" i="145"/>
  <c r="P72" i="145"/>
  <c r="K72" i="145"/>
  <c r="P71" i="145"/>
  <c r="K71" i="145"/>
  <c r="F30" i="144" l="1"/>
  <c r="F29" i="144"/>
  <c r="F27" i="144"/>
  <c r="F26" i="144"/>
  <c r="E25" i="144"/>
  <c r="F25" i="144" s="1"/>
  <c r="E24" i="144"/>
  <c r="F24" i="144" s="1"/>
  <c r="F23" i="144"/>
  <c r="F22" i="144"/>
  <c r="G32" i="143" l="1"/>
  <c r="G29" i="143"/>
  <c r="G33" i="140" l="1"/>
  <c r="G32" i="140"/>
  <c r="G31" i="140"/>
  <c r="G30" i="140"/>
  <c r="G29" i="140"/>
  <c r="G22" i="139" l="1"/>
  <c r="G21" i="139"/>
  <c r="G20" i="139"/>
  <c r="G19" i="139"/>
  <c r="G18" i="139"/>
  <c r="I27" i="138" l="1"/>
  <c r="I28" i="138" s="1"/>
  <c r="I26" i="138"/>
  <c r="I24" i="138"/>
  <c r="H34" i="137" l="1"/>
  <c r="H33" i="137"/>
  <c r="H32" i="137"/>
  <c r="H31" i="137"/>
  <c r="H30" i="137"/>
  <c r="H29" i="137"/>
  <c r="H28" i="137"/>
  <c r="H27" i="137"/>
  <c r="H26" i="137"/>
  <c r="H25" i="137"/>
  <c r="H24" i="137"/>
  <c r="H23" i="137"/>
  <c r="G28" i="136" l="1"/>
  <c r="G27" i="136"/>
  <c r="G26" i="136"/>
  <c r="B5" i="124" l="1"/>
  <c r="B4" i="124"/>
  <c r="B3" i="124"/>
  <c r="B2" i="124"/>
  <c r="B5" i="123" l="1"/>
  <c r="B4" i="123"/>
  <c r="B2" i="123"/>
  <c r="B5" i="122" l="1"/>
  <c r="B4" i="122"/>
  <c r="B3" i="122"/>
  <c r="B2" i="122"/>
  <c r="B5" i="121" l="1"/>
  <c r="B4" i="121"/>
  <c r="B3" i="121"/>
  <c r="B2" i="121"/>
  <c r="B5" i="120" l="1"/>
  <c r="B4" i="120"/>
  <c r="B3" i="120"/>
  <c r="B2" i="120"/>
  <c r="B5" i="119" l="1"/>
  <c r="B4" i="119"/>
  <c r="B3" i="119"/>
  <c r="B2" i="119"/>
  <c r="B5" i="118" l="1"/>
  <c r="B4" i="118"/>
  <c r="B3" i="118"/>
  <c r="B2" i="118"/>
  <c r="B5" i="116" l="1"/>
  <c r="B4" i="116"/>
  <c r="B3" i="116"/>
  <c r="B2" i="116"/>
  <c r="B5" i="115" l="1"/>
  <c r="B4" i="115"/>
  <c r="B3" i="115"/>
  <c r="B2" i="115"/>
  <c r="B5" i="114" l="1"/>
  <c r="B4" i="114"/>
  <c r="B3" i="114"/>
  <c r="B2" i="114"/>
  <c r="B5" i="113" l="1"/>
  <c r="B4" i="113"/>
  <c r="B3" i="113"/>
  <c r="B2" i="113"/>
  <c r="B5" i="112" l="1"/>
  <c r="B4" i="112"/>
  <c r="B3" i="112"/>
  <c r="B2" i="112"/>
  <c r="B5" i="111" l="1"/>
  <c r="B4" i="111"/>
  <c r="B3" i="111"/>
  <c r="B2" i="111"/>
  <c r="B5" i="110" l="1"/>
  <c r="B4" i="110"/>
  <c r="B3" i="110"/>
  <c r="B2" i="110"/>
  <c r="B190" i="109" l="1"/>
  <c r="A2" i="109"/>
  <c r="U38" i="109" s="1"/>
  <c r="Q12" i="109" l="1"/>
  <c r="Q8" i="109"/>
  <c r="Q10" i="109"/>
  <c r="Q14" i="109"/>
  <c r="Q16" i="109"/>
  <c r="Q18" i="109"/>
  <c r="Q20" i="109"/>
  <c r="Q22" i="109"/>
  <c r="Q24" i="109"/>
  <c r="Q26" i="109"/>
  <c r="Q7" i="109"/>
  <c r="Q9" i="109"/>
  <c r="Q11" i="109"/>
  <c r="Q13" i="109"/>
  <c r="Q15" i="109"/>
  <c r="Q17" i="109"/>
  <c r="Q19" i="109"/>
  <c r="Q21" i="109"/>
  <c r="Q23" i="109"/>
  <c r="Q25" i="109"/>
  <c r="Q38" i="109"/>
  <c r="L4" i="109"/>
  <c r="N4" i="109"/>
  <c r="P4" i="109"/>
  <c r="R4" i="109"/>
  <c r="T4" i="109"/>
  <c r="L5" i="109"/>
  <c r="N5" i="109"/>
  <c r="P5" i="109"/>
  <c r="R5" i="109"/>
  <c r="T5" i="109"/>
  <c r="L6" i="109"/>
  <c r="N6" i="109"/>
  <c r="P6" i="109"/>
  <c r="R6" i="109"/>
  <c r="T6" i="109"/>
  <c r="M7" i="109"/>
  <c r="O7" i="109"/>
  <c r="S7" i="109"/>
  <c r="U7" i="109"/>
  <c r="L8" i="109"/>
  <c r="N8" i="109"/>
  <c r="P8" i="109"/>
  <c r="R8" i="109"/>
  <c r="T8" i="109"/>
  <c r="M9" i="109"/>
  <c r="O9" i="109"/>
  <c r="S9" i="109"/>
  <c r="U9" i="109"/>
  <c r="L10" i="109"/>
  <c r="N10" i="109"/>
  <c r="P10" i="109"/>
  <c r="R10" i="109"/>
  <c r="T10" i="109"/>
  <c r="M11" i="109"/>
  <c r="O11" i="109"/>
  <c r="S11" i="109"/>
  <c r="U11" i="109"/>
  <c r="L12" i="109"/>
  <c r="N12" i="109"/>
  <c r="P12" i="109"/>
  <c r="R12" i="109"/>
  <c r="T12" i="109"/>
  <c r="M13" i="109"/>
  <c r="O13" i="109"/>
  <c r="S13" i="109"/>
  <c r="U13" i="109"/>
  <c r="L14" i="109"/>
  <c r="N14" i="109"/>
  <c r="P14" i="109"/>
  <c r="R14" i="109"/>
  <c r="T14" i="109"/>
  <c r="M15" i="109"/>
  <c r="O15" i="109"/>
  <c r="S15" i="109"/>
  <c r="U15" i="109"/>
  <c r="L16" i="109"/>
  <c r="N16" i="109"/>
  <c r="P16" i="109"/>
  <c r="R16" i="109"/>
  <c r="T16" i="109"/>
  <c r="M17" i="109"/>
  <c r="O17" i="109"/>
  <c r="S17" i="109"/>
  <c r="U17" i="109"/>
  <c r="L18" i="109"/>
  <c r="N18" i="109"/>
  <c r="P18" i="109"/>
  <c r="R18" i="109"/>
  <c r="T18" i="109"/>
  <c r="M19" i="109"/>
  <c r="O19" i="109"/>
  <c r="S19" i="109"/>
  <c r="U19" i="109"/>
  <c r="L20" i="109"/>
  <c r="N20" i="109"/>
  <c r="P20" i="109"/>
  <c r="R20" i="109"/>
  <c r="T20" i="109"/>
  <c r="M21" i="109"/>
  <c r="O21" i="109"/>
  <c r="S21" i="109"/>
  <c r="U21" i="109"/>
  <c r="L22" i="109"/>
  <c r="N22" i="109"/>
  <c r="P22" i="109"/>
  <c r="R22" i="109"/>
  <c r="T22" i="109"/>
  <c r="M23" i="109"/>
  <c r="O23" i="109"/>
  <c r="S23" i="109"/>
  <c r="U23" i="109"/>
  <c r="L24" i="109"/>
  <c r="N24" i="109"/>
  <c r="P24" i="109"/>
  <c r="R24" i="109"/>
  <c r="T24" i="109"/>
  <c r="M25" i="109"/>
  <c r="O25" i="109"/>
  <c r="S25" i="109"/>
  <c r="U25" i="109"/>
  <c r="L26" i="109"/>
  <c r="N26" i="109"/>
  <c r="P26" i="109"/>
  <c r="R26" i="109"/>
  <c r="T26" i="109"/>
  <c r="L27" i="109"/>
  <c r="N27" i="109"/>
  <c r="P27" i="109"/>
  <c r="R27" i="109"/>
  <c r="T27" i="109"/>
  <c r="L28" i="109"/>
  <c r="N28" i="109"/>
  <c r="P28" i="109"/>
  <c r="R28" i="109"/>
  <c r="T28" i="109"/>
  <c r="L29" i="109"/>
  <c r="N29" i="109"/>
  <c r="P29" i="109"/>
  <c r="R29" i="109"/>
  <c r="T29" i="109"/>
  <c r="L30" i="109"/>
  <c r="N30" i="109"/>
  <c r="P30" i="109"/>
  <c r="R30" i="109"/>
  <c r="T30" i="109"/>
  <c r="L31" i="109"/>
  <c r="N31" i="109"/>
  <c r="P31" i="109"/>
  <c r="R31" i="109"/>
  <c r="T31" i="109"/>
  <c r="L32" i="109"/>
  <c r="N32" i="109"/>
  <c r="P32" i="109"/>
  <c r="R32" i="109"/>
  <c r="T32" i="109"/>
  <c r="L33" i="109"/>
  <c r="N33" i="109"/>
  <c r="P33" i="109"/>
  <c r="R33" i="109"/>
  <c r="T33" i="109"/>
  <c r="L34" i="109"/>
  <c r="N34" i="109"/>
  <c r="P34" i="109"/>
  <c r="R34" i="109"/>
  <c r="T34" i="109"/>
  <c r="L35" i="109"/>
  <c r="N35" i="109"/>
  <c r="P35" i="109"/>
  <c r="R35" i="109"/>
  <c r="T35" i="109"/>
  <c r="L36" i="109"/>
  <c r="N36" i="109"/>
  <c r="P36" i="109"/>
  <c r="R36" i="109"/>
  <c r="T36" i="109"/>
  <c r="L37" i="109"/>
  <c r="N37" i="109"/>
  <c r="P37" i="109"/>
  <c r="R37" i="109"/>
  <c r="T37" i="109"/>
  <c r="M38" i="109"/>
  <c r="O38" i="109"/>
  <c r="S38" i="109"/>
  <c r="P40" i="109"/>
  <c r="P42" i="109"/>
  <c r="U72" i="109"/>
  <c r="S72" i="109"/>
  <c r="Q72" i="109"/>
  <c r="O72" i="109"/>
  <c r="M72" i="109"/>
  <c r="U71" i="109"/>
  <c r="S71" i="109"/>
  <c r="Q71" i="109"/>
  <c r="O71" i="109"/>
  <c r="M71" i="109"/>
  <c r="U70" i="109"/>
  <c r="S70" i="109"/>
  <c r="Q70" i="109"/>
  <c r="O70" i="109"/>
  <c r="M70" i="109"/>
  <c r="U69" i="109"/>
  <c r="S69" i="109"/>
  <c r="Q69" i="109"/>
  <c r="O69" i="109"/>
  <c r="M69" i="109"/>
  <c r="U68" i="109"/>
  <c r="S68" i="109"/>
  <c r="Q68" i="109"/>
  <c r="O68" i="109"/>
  <c r="M68" i="109"/>
  <c r="U67" i="109"/>
  <c r="S67" i="109"/>
  <c r="Q67" i="109"/>
  <c r="O67" i="109"/>
  <c r="M67" i="109"/>
  <c r="U66" i="109"/>
  <c r="S66" i="109"/>
  <c r="Q66" i="109"/>
  <c r="O66" i="109"/>
  <c r="M66" i="109"/>
  <c r="U65" i="109"/>
  <c r="S65" i="109"/>
  <c r="Q65" i="109"/>
  <c r="O65" i="109"/>
  <c r="M65" i="109"/>
  <c r="U64" i="109"/>
  <c r="S64" i="109"/>
  <c r="Q64" i="109"/>
  <c r="O64" i="109"/>
  <c r="M64" i="109"/>
  <c r="U63" i="109"/>
  <c r="S63" i="109"/>
  <c r="Q63" i="109"/>
  <c r="O63" i="109"/>
  <c r="M63" i="109"/>
  <c r="U62" i="109"/>
  <c r="S62" i="109"/>
  <c r="Q62" i="109"/>
  <c r="O62" i="109"/>
  <c r="M62" i="109"/>
  <c r="U61" i="109"/>
  <c r="S61" i="109"/>
  <c r="Q61" i="109"/>
  <c r="O61" i="109"/>
  <c r="M61" i="109"/>
  <c r="U60" i="109"/>
  <c r="S60" i="109"/>
  <c r="Q60" i="109"/>
  <c r="O60" i="109"/>
  <c r="M60" i="109"/>
  <c r="U59" i="109"/>
  <c r="S59" i="109"/>
  <c r="Q59" i="109"/>
  <c r="O59" i="109"/>
  <c r="M59" i="109"/>
  <c r="U58" i="109"/>
  <c r="S58" i="109"/>
  <c r="Q58" i="109"/>
  <c r="O58" i="109"/>
  <c r="M58" i="109"/>
  <c r="U57" i="109"/>
  <c r="S57" i="109"/>
  <c r="Q57" i="109"/>
  <c r="O57" i="109"/>
  <c r="M57" i="109"/>
  <c r="U56" i="109"/>
  <c r="S56" i="109"/>
  <c r="Q56" i="109"/>
  <c r="O56" i="109"/>
  <c r="M56" i="109"/>
  <c r="U55" i="109"/>
  <c r="S55" i="109"/>
  <c r="Q55" i="109"/>
  <c r="O55" i="109"/>
  <c r="M55" i="109"/>
  <c r="U54" i="109"/>
  <c r="S54" i="109"/>
  <c r="Q54" i="109"/>
  <c r="O54" i="109"/>
  <c r="M54" i="109"/>
  <c r="U53" i="109"/>
  <c r="S53" i="109"/>
  <c r="Q53" i="109"/>
  <c r="O53" i="109"/>
  <c r="M53" i="109"/>
  <c r="U52" i="109"/>
  <c r="S52" i="109"/>
  <c r="Q52" i="109"/>
  <c r="O52" i="109"/>
  <c r="M52" i="109"/>
  <c r="U51" i="109"/>
  <c r="S51" i="109"/>
  <c r="Q51" i="109"/>
  <c r="O51" i="109"/>
  <c r="M51" i="109"/>
  <c r="U50" i="109"/>
  <c r="S50" i="109"/>
  <c r="Q50" i="109"/>
  <c r="O50" i="109"/>
  <c r="M50" i="109"/>
  <c r="U49" i="109"/>
  <c r="S49" i="109"/>
  <c r="Q49" i="109"/>
  <c r="O49" i="109"/>
  <c r="M49" i="109"/>
  <c r="U48" i="109"/>
  <c r="S48" i="109"/>
  <c r="Q48" i="109"/>
  <c r="O48" i="109"/>
  <c r="M48" i="109"/>
  <c r="U47" i="109"/>
  <c r="S47" i="109"/>
  <c r="Q47" i="109"/>
  <c r="O47" i="109"/>
  <c r="M47" i="109"/>
  <c r="U46" i="109"/>
  <c r="S46" i="109"/>
  <c r="Q46" i="109"/>
  <c r="O46" i="109"/>
  <c r="M46" i="109"/>
  <c r="U45" i="109"/>
  <c r="S45" i="109"/>
  <c r="Q45" i="109"/>
  <c r="O45" i="109"/>
  <c r="M45" i="109"/>
  <c r="U44" i="109"/>
  <c r="S44" i="109"/>
  <c r="Q44" i="109"/>
  <c r="O44" i="109"/>
  <c r="M44" i="109"/>
  <c r="U43" i="109"/>
  <c r="S43" i="109"/>
  <c r="M43" i="109"/>
  <c r="T42" i="109"/>
  <c r="R42" i="109"/>
  <c r="U41" i="109"/>
  <c r="S41" i="109"/>
  <c r="M41" i="109"/>
  <c r="T40" i="109"/>
  <c r="R40" i="109"/>
  <c r="U39" i="109"/>
  <c r="S39" i="109"/>
  <c r="M39" i="109"/>
  <c r="T72" i="109"/>
  <c r="R72" i="109"/>
  <c r="P72" i="109"/>
  <c r="N72" i="109"/>
  <c r="T71" i="109"/>
  <c r="R71" i="109"/>
  <c r="P71" i="109"/>
  <c r="N71" i="109"/>
  <c r="L71" i="109"/>
  <c r="T70" i="109"/>
  <c r="R70" i="109"/>
  <c r="P70" i="109"/>
  <c r="N70" i="109"/>
  <c r="L70" i="109"/>
  <c r="T69" i="109"/>
  <c r="R69" i="109"/>
  <c r="P69" i="109"/>
  <c r="N69" i="109"/>
  <c r="L69" i="109"/>
  <c r="T68" i="109"/>
  <c r="R68" i="109"/>
  <c r="P68" i="109"/>
  <c r="N68" i="109"/>
  <c r="L68" i="109"/>
  <c r="T67" i="109"/>
  <c r="R67" i="109"/>
  <c r="P67" i="109"/>
  <c r="N67" i="109"/>
  <c r="L67" i="109"/>
  <c r="T66" i="109"/>
  <c r="R66" i="109"/>
  <c r="P66" i="109"/>
  <c r="N66" i="109"/>
  <c r="L66" i="109"/>
  <c r="T65" i="109"/>
  <c r="R65" i="109"/>
  <c r="P65" i="109"/>
  <c r="N65" i="109"/>
  <c r="L65" i="109"/>
  <c r="T64" i="109"/>
  <c r="R64" i="109"/>
  <c r="P64" i="109"/>
  <c r="N64" i="109"/>
  <c r="L64" i="109"/>
  <c r="T63" i="109"/>
  <c r="R63" i="109"/>
  <c r="P63" i="109"/>
  <c r="N63" i="109"/>
  <c r="L63" i="109"/>
  <c r="T62" i="109"/>
  <c r="R62" i="109"/>
  <c r="P62" i="109"/>
  <c r="N62" i="109"/>
  <c r="L62" i="109"/>
  <c r="T61" i="109"/>
  <c r="R61" i="109"/>
  <c r="P61" i="109"/>
  <c r="N61" i="109"/>
  <c r="L61" i="109"/>
  <c r="T60" i="109"/>
  <c r="R60" i="109"/>
  <c r="P60" i="109"/>
  <c r="N60" i="109"/>
  <c r="L60" i="109"/>
  <c r="T59" i="109"/>
  <c r="R59" i="109"/>
  <c r="P59" i="109"/>
  <c r="N59" i="109"/>
  <c r="L59" i="109"/>
  <c r="T58" i="109"/>
  <c r="R58" i="109"/>
  <c r="P58" i="109"/>
  <c r="N58" i="109"/>
  <c r="L58" i="109"/>
  <c r="T57" i="109"/>
  <c r="R57" i="109"/>
  <c r="P57" i="109"/>
  <c r="N57" i="109"/>
  <c r="L57" i="109"/>
  <c r="T56" i="109"/>
  <c r="R56" i="109"/>
  <c r="P56" i="109"/>
  <c r="N56" i="109"/>
  <c r="L56" i="109"/>
  <c r="T55" i="109"/>
  <c r="R55" i="109"/>
  <c r="P55" i="109"/>
  <c r="N55" i="109"/>
  <c r="L55" i="109"/>
  <c r="T54" i="109"/>
  <c r="R54" i="109"/>
  <c r="P54" i="109"/>
  <c r="N54" i="109"/>
  <c r="L54" i="109"/>
  <c r="T53" i="109"/>
  <c r="R53" i="109"/>
  <c r="P53" i="109"/>
  <c r="N53" i="109"/>
  <c r="L53" i="109"/>
  <c r="T52" i="109"/>
  <c r="R52" i="109"/>
  <c r="P52" i="109"/>
  <c r="N52" i="109"/>
  <c r="L52" i="109"/>
  <c r="T51" i="109"/>
  <c r="R51" i="109"/>
  <c r="P51" i="109"/>
  <c r="N51" i="109"/>
  <c r="L51" i="109"/>
  <c r="T50" i="109"/>
  <c r="R50" i="109"/>
  <c r="P50" i="109"/>
  <c r="N50" i="109"/>
  <c r="L50" i="109"/>
  <c r="T49" i="109"/>
  <c r="R49" i="109"/>
  <c r="P49" i="109"/>
  <c r="N49" i="109"/>
  <c r="L49" i="109"/>
  <c r="T48" i="109"/>
  <c r="R48" i="109"/>
  <c r="P48" i="109"/>
  <c r="N48" i="109"/>
  <c r="L48" i="109"/>
  <c r="T47" i="109"/>
  <c r="R47" i="109"/>
  <c r="P47" i="109"/>
  <c r="N47" i="109"/>
  <c r="L47" i="109"/>
  <c r="T46" i="109"/>
  <c r="R46" i="109"/>
  <c r="P46" i="109"/>
  <c r="N46" i="109"/>
  <c r="L46" i="109"/>
  <c r="T45" i="109"/>
  <c r="R45" i="109"/>
  <c r="P45" i="109"/>
  <c r="N45" i="109"/>
  <c r="L45" i="109"/>
  <c r="T44" i="109"/>
  <c r="R44" i="109"/>
  <c r="P44" i="109"/>
  <c r="N44" i="109"/>
  <c r="L44" i="109"/>
  <c r="T43" i="109"/>
  <c r="R43" i="109"/>
  <c r="U42" i="109"/>
  <c r="S42" i="109"/>
  <c r="M42" i="109"/>
  <c r="T41" i="109"/>
  <c r="R41" i="109"/>
  <c r="U40" i="109"/>
  <c r="S40" i="109"/>
  <c r="M40" i="109"/>
  <c r="T39" i="109"/>
  <c r="R39" i="109"/>
  <c r="M4" i="109"/>
  <c r="O4" i="109"/>
  <c r="Q4" i="109"/>
  <c r="S4" i="109"/>
  <c r="U4" i="109"/>
  <c r="M5" i="109"/>
  <c r="O5" i="109"/>
  <c r="Q5" i="109"/>
  <c r="S5" i="109"/>
  <c r="U5" i="109"/>
  <c r="M6" i="109"/>
  <c r="O6" i="109"/>
  <c r="Q6" i="109"/>
  <c r="S6" i="109"/>
  <c r="U6" i="109"/>
  <c r="L7" i="109"/>
  <c r="N7" i="109"/>
  <c r="P7" i="109"/>
  <c r="R7" i="109"/>
  <c r="T7" i="109"/>
  <c r="M8" i="109"/>
  <c r="O8" i="109"/>
  <c r="S8" i="109"/>
  <c r="U8" i="109"/>
  <c r="L9" i="109"/>
  <c r="N9" i="109"/>
  <c r="P9" i="109"/>
  <c r="R9" i="109"/>
  <c r="T9" i="109"/>
  <c r="M10" i="109"/>
  <c r="O10" i="109"/>
  <c r="S10" i="109"/>
  <c r="U10" i="109"/>
  <c r="L11" i="109"/>
  <c r="N11" i="109"/>
  <c r="P11" i="109"/>
  <c r="R11" i="109"/>
  <c r="T11" i="109"/>
  <c r="M12" i="109"/>
  <c r="O12" i="109"/>
  <c r="S12" i="109"/>
  <c r="U12" i="109"/>
  <c r="L13" i="109"/>
  <c r="N13" i="109"/>
  <c r="P13" i="109"/>
  <c r="R13" i="109"/>
  <c r="T13" i="109"/>
  <c r="M14" i="109"/>
  <c r="O14" i="109"/>
  <c r="S14" i="109"/>
  <c r="U14" i="109"/>
  <c r="L15" i="109"/>
  <c r="N15" i="109"/>
  <c r="P15" i="109"/>
  <c r="R15" i="109"/>
  <c r="T15" i="109"/>
  <c r="M16" i="109"/>
  <c r="O16" i="109"/>
  <c r="S16" i="109"/>
  <c r="U16" i="109"/>
  <c r="L17" i="109"/>
  <c r="N17" i="109"/>
  <c r="P17" i="109"/>
  <c r="R17" i="109"/>
  <c r="T17" i="109"/>
  <c r="M18" i="109"/>
  <c r="O18" i="109"/>
  <c r="S18" i="109"/>
  <c r="U18" i="109"/>
  <c r="L19" i="109"/>
  <c r="N19" i="109"/>
  <c r="P19" i="109"/>
  <c r="R19" i="109"/>
  <c r="T19" i="109"/>
  <c r="M20" i="109"/>
  <c r="O20" i="109"/>
  <c r="S20" i="109"/>
  <c r="U20" i="109"/>
  <c r="L21" i="109"/>
  <c r="N21" i="109"/>
  <c r="P21" i="109"/>
  <c r="R21" i="109"/>
  <c r="T21" i="109"/>
  <c r="M22" i="109"/>
  <c r="O22" i="109"/>
  <c r="S22" i="109"/>
  <c r="U22" i="109"/>
  <c r="L23" i="109"/>
  <c r="N23" i="109"/>
  <c r="P23" i="109"/>
  <c r="R23" i="109"/>
  <c r="T23" i="109"/>
  <c r="M24" i="109"/>
  <c r="O24" i="109"/>
  <c r="S24" i="109"/>
  <c r="U24" i="109"/>
  <c r="L25" i="109"/>
  <c r="N25" i="109"/>
  <c r="P25" i="109"/>
  <c r="R25" i="109"/>
  <c r="T25" i="109"/>
  <c r="M26" i="109"/>
  <c r="O26" i="109"/>
  <c r="S26" i="109"/>
  <c r="U26" i="109"/>
  <c r="M27" i="109"/>
  <c r="O27" i="109"/>
  <c r="Q27" i="109"/>
  <c r="S27" i="109"/>
  <c r="U27" i="109"/>
  <c r="M28" i="109"/>
  <c r="O28" i="109"/>
  <c r="Q28" i="109"/>
  <c r="S28" i="109"/>
  <c r="U28" i="109"/>
  <c r="M29" i="109"/>
  <c r="O29" i="109"/>
  <c r="Q29" i="109"/>
  <c r="S29" i="109"/>
  <c r="U29" i="109"/>
  <c r="M30" i="109"/>
  <c r="O30" i="109"/>
  <c r="Q30" i="109"/>
  <c r="S30" i="109"/>
  <c r="U30" i="109"/>
  <c r="M31" i="109"/>
  <c r="O31" i="109"/>
  <c r="Q31" i="109"/>
  <c r="S31" i="109"/>
  <c r="U31" i="109"/>
  <c r="M32" i="109"/>
  <c r="O32" i="109"/>
  <c r="Q32" i="109"/>
  <c r="S32" i="109"/>
  <c r="U32" i="109"/>
  <c r="M33" i="109"/>
  <c r="O33" i="109"/>
  <c r="Q33" i="109"/>
  <c r="S33" i="109"/>
  <c r="U33" i="109"/>
  <c r="M34" i="109"/>
  <c r="O34" i="109"/>
  <c r="Q34" i="109"/>
  <c r="S34" i="109"/>
  <c r="U34" i="109"/>
  <c r="M35" i="109"/>
  <c r="O35" i="109"/>
  <c r="Q35" i="109"/>
  <c r="S35" i="109"/>
  <c r="U35" i="109"/>
  <c r="M36" i="109"/>
  <c r="O36" i="109"/>
  <c r="Q36" i="109"/>
  <c r="S36" i="109"/>
  <c r="U36" i="109"/>
  <c r="M37" i="109"/>
  <c r="O37" i="109"/>
  <c r="Q37" i="109"/>
  <c r="S37" i="109"/>
  <c r="U37" i="109"/>
  <c r="L38" i="109"/>
  <c r="N38" i="109"/>
  <c r="P38" i="109"/>
  <c r="R38" i="109"/>
  <c r="T38" i="109"/>
  <c r="Q39" i="109"/>
  <c r="Q41" i="109"/>
  <c r="Q43" i="109"/>
  <c r="L39" i="109"/>
  <c r="N39" i="109"/>
  <c r="P39" i="109"/>
  <c r="O40" i="109"/>
  <c r="Q40" i="109"/>
  <c r="L41" i="109"/>
  <c r="N41" i="109"/>
  <c r="P41" i="109"/>
  <c r="O42" i="109"/>
  <c r="Q42" i="109"/>
  <c r="L43" i="109"/>
  <c r="N43" i="109"/>
  <c r="P43" i="109"/>
  <c r="O39" i="109"/>
  <c r="L40" i="109"/>
  <c r="N40" i="109"/>
  <c r="O41" i="109"/>
  <c r="L42" i="109"/>
  <c r="N42" i="109"/>
  <c r="O43" i="109"/>
  <c r="V42" i="109" l="1"/>
  <c r="X42" i="109" s="1"/>
  <c r="W37" i="109"/>
  <c r="Y37" i="109" s="1"/>
  <c r="W31" i="109"/>
  <c r="Y31" i="109" s="1"/>
  <c r="W27" i="109"/>
  <c r="Y27" i="109" s="1"/>
  <c r="V23" i="109"/>
  <c r="X23" i="109" s="1"/>
  <c r="W18" i="109"/>
  <c r="Y18" i="109" s="1"/>
  <c r="W14" i="109"/>
  <c r="Y14" i="109" s="1"/>
  <c r="V11" i="109"/>
  <c r="X11" i="109" s="1"/>
  <c r="V40" i="109"/>
  <c r="X40" i="109" s="1"/>
  <c r="V43" i="109"/>
  <c r="X43" i="109" s="1"/>
  <c r="V39" i="109"/>
  <c r="X39" i="109" s="1"/>
  <c r="V38" i="109"/>
  <c r="X38" i="109" s="1"/>
  <c r="W36" i="109"/>
  <c r="Y36" i="109" s="1"/>
  <c r="W34" i="109"/>
  <c r="Y34" i="109" s="1"/>
  <c r="W32" i="109"/>
  <c r="Y32" i="109" s="1"/>
  <c r="W30" i="109"/>
  <c r="Y30" i="109" s="1"/>
  <c r="W28" i="109"/>
  <c r="Y28" i="109" s="1"/>
  <c r="V25" i="109"/>
  <c r="X25" i="109" s="1"/>
  <c r="W24" i="109"/>
  <c r="Y24" i="109" s="1"/>
  <c r="V21" i="109"/>
  <c r="X21" i="109" s="1"/>
  <c r="W20" i="109"/>
  <c r="Y20" i="109" s="1"/>
  <c r="V17" i="109"/>
  <c r="X17" i="109" s="1"/>
  <c r="W16" i="109"/>
  <c r="Y16" i="109" s="1"/>
  <c r="V13" i="109"/>
  <c r="X13" i="109" s="1"/>
  <c r="W12" i="109"/>
  <c r="Y12" i="109" s="1"/>
  <c r="V9" i="109"/>
  <c r="X9" i="109" s="1"/>
  <c r="W8" i="109"/>
  <c r="Y8" i="109" s="1"/>
  <c r="W6" i="109"/>
  <c r="Y6" i="109" s="1"/>
  <c r="M73" i="109"/>
  <c r="W4" i="109"/>
  <c r="Y4" i="109" s="1"/>
  <c r="W42" i="109"/>
  <c r="Y42" i="109" s="1"/>
  <c r="V45" i="109"/>
  <c r="X45" i="109" s="1"/>
  <c r="V47" i="109"/>
  <c r="X47" i="109" s="1"/>
  <c r="V49" i="109"/>
  <c r="X49" i="109" s="1"/>
  <c r="V51" i="109"/>
  <c r="X51" i="109" s="1"/>
  <c r="V53" i="109"/>
  <c r="X53" i="109" s="1"/>
  <c r="V55" i="109"/>
  <c r="X55" i="109" s="1"/>
  <c r="V57" i="109"/>
  <c r="X57" i="109" s="1"/>
  <c r="V59" i="109"/>
  <c r="X59" i="109" s="1"/>
  <c r="V61" i="109"/>
  <c r="X61" i="109" s="1"/>
  <c r="V63" i="109"/>
  <c r="X63" i="109" s="1"/>
  <c r="V65" i="109"/>
  <c r="X65" i="109" s="1"/>
  <c r="V67" i="109"/>
  <c r="X67" i="109" s="1"/>
  <c r="V69" i="109"/>
  <c r="X69" i="109" s="1"/>
  <c r="V71" i="109"/>
  <c r="X71" i="109" s="1"/>
  <c r="W39" i="109"/>
  <c r="Y39" i="109" s="1"/>
  <c r="W43" i="109"/>
  <c r="Y43" i="109" s="1"/>
  <c r="W45" i="109"/>
  <c r="Y45" i="109" s="1"/>
  <c r="W47" i="109"/>
  <c r="Y47" i="109" s="1"/>
  <c r="W49" i="109"/>
  <c r="Y49" i="109" s="1"/>
  <c r="W51" i="109"/>
  <c r="Y51" i="109" s="1"/>
  <c r="W53" i="109"/>
  <c r="Y53" i="109" s="1"/>
  <c r="W55" i="109"/>
  <c r="Y55" i="109" s="1"/>
  <c r="W57" i="109"/>
  <c r="Y57" i="109" s="1"/>
  <c r="W59" i="109"/>
  <c r="Y59" i="109" s="1"/>
  <c r="W61" i="109"/>
  <c r="Y61" i="109" s="1"/>
  <c r="W63" i="109"/>
  <c r="Y63" i="109" s="1"/>
  <c r="W65" i="109"/>
  <c r="Y65" i="109" s="1"/>
  <c r="W67" i="109"/>
  <c r="Y67" i="109" s="1"/>
  <c r="W69" i="109"/>
  <c r="Y69" i="109" s="1"/>
  <c r="W71" i="109"/>
  <c r="Y71" i="109" s="1"/>
  <c r="W38" i="109"/>
  <c r="Y38" i="109" s="1"/>
  <c r="V36" i="109"/>
  <c r="X36" i="109" s="1"/>
  <c r="V34" i="109"/>
  <c r="X34" i="109" s="1"/>
  <c r="V32" i="109"/>
  <c r="X32" i="109" s="1"/>
  <c r="V30" i="109"/>
  <c r="X30" i="109" s="1"/>
  <c r="V28" i="109"/>
  <c r="X28" i="109" s="1"/>
  <c r="V26" i="109"/>
  <c r="X26" i="109" s="1"/>
  <c r="W25" i="109"/>
  <c r="Y25" i="109" s="1"/>
  <c r="V22" i="109"/>
  <c r="X22" i="109" s="1"/>
  <c r="W21" i="109"/>
  <c r="Y21" i="109" s="1"/>
  <c r="V18" i="109"/>
  <c r="X18" i="109" s="1"/>
  <c r="W17" i="109"/>
  <c r="Y17" i="109" s="1"/>
  <c r="V14" i="109"/>
  <c r="X14" i="109" s="1"/>
  <c r="W13" i="109"/>
  <c r="Y13" i="109" s="1"/>
  <c r="V10" i="109"/>
  <c r="X10" i="109" s="1"/>
  <c r="W9" i="109"/>
  <c r="Y9" i="109" s="1"/>
  <c r="V6" i="109"/>
  <c r="X6" i="109" s="1"/>
  <c r="L73" i="109"/>
  <c r="V4" i="109"/>
  <c r="X4" i="109" s="1"/>
  <c r="U73" i="109"/>
  <c r="Q73" i="109"/>
  <c r="T73" i="109"/>
  <c r="P73" i="109"/>
  <c r="V41" i="109"/>
  <c r="X41" i="109" s="1"/>
  <c r="W35" i="109"/>
  <c r="Y35" i="109" s="1"/>
  <c r="W33" i="109"/>
  <c r="Y33" i="109" s="1"/>
  <c r="W29" i="109"/>
  <c r="Y29" i="109" s="1"/>
  <c r="W26" i="109"/>
  <c r="Y26" i="109" s="1"/>
  <c r="W22" i="109"/>
  <c r="Y22" i="109" s="1"/>
  <c r="V19" i="109"/>
  <c r="X19" i="109" s="1"/>
  <c r="V15" i="109"/>
  <c r="X15" i="109" s="1"/>
  <c r="W10" i="109"/>
  <c r="Y10" i="109" s="1"/>
  <c r="V7" i="109"/>
  <c r="X7" i="109" s="1"/>
  <c r="W5" i="109"/>
  <c r="Y5" i="109" s="1"/>
  <c r="W40" i="109"/>
  <c r="Y40" i="109" s="1"/>
  <c r="V44" i="109"/>
  <c r="X44" i="109" s="1"/>
  <c r="V46" i="109"/>
  <c r="X46" i="109" s="1"/>
  <c r="V48" i="109"/>
  <c r="X48" i="109" s="1"/>
  <c r="V50" i="109"/>
  <c r="X50" i="109" s="1"/>
  <c r="V52" i="109"/>
  <c r="X52" i="109" s="1"/>
  <c r="V54" i="109"/>
  <c r="X54" i="109" s="1"/>
  <c r="V56" i="109"/>
  <c r="X56" i="109" s="1"/>
  <c r="V58" i="109"/>
  <c r="X58" i="109" s="1"/>
  <c r="V60" i="109"/>
  <c r="X60" i="109" s="1"/>
  <c r="V62" i="109"/>
  <c r="X62" i="109" s="1"/>
  <c r="V64" i="109"/>
  <c r="X64" i="109" s="1"/>
  <c r="V66" i="109"/>
  <c r="X66" i="109" s="1"/>
  <c r="V68" i="109"/>
  <c r="X68" i="109" s="1"/>
  <c r="V70" i="109"/>
  <c r="X70" i="109" s="1"/>
  <c r="V72" i="109"/>
  <c r="X72" i="109" s="1"/>
  <c r="W41" i="109"/>
  <c r="Y41" i="109" s="1"/>
  <c r="W44" i="109"/>
  <c r="Y44" i="109" s="1"/>
  <c r="W46" i="109"/>
  <c r="Y46" i="109" s="1"/>
  <c r="W48" i="109"/>
  <c r="Y48" i="109" s="1"/>
  <c r="W50" i="109"/>
  <c r="Y50" i="109" s="1"/>
  <c r="W52" i="109"/>
  <c r="Y52" i="109" s="1"/>
  <c r="W54" i="109"/>
  <c r="Y54" i="109" s="1"/>
  <c r="W56" i="109"/>
  <c r="Y56" i="109" s="1"/>
  <c r="W58" i="109"/>
  <c r="Y58" i="109" s="1"/>
  <c r="W60" i="109"/>
  <c r="Y60" i="109" s="1"/>
  <c r="W62" i="109"/>
  <c r="Y62" i="109" s="1"/>
  <c r="W64" i="109"/>
  <c r="Y64" i="109" s="1"/>
  <c r="W66" i="109"/>
  <c r="Y66" i="109" s="1"/>
  <c r="W68" i="109"/>
  <c r="Y68" i="109" s="1"/>
  <c r="W70" i="109"/>
  <c r="Y70" i="109" s="1"/>
  <c r="W72" i="109"/>
  <c r="Y72" i="109" s="1"/>
  <c r="V37" i="109"/>
  <c r="X37" i="109" s="1"/>
  <c r="V35" i="109"/>
  <c r="X35" i="109" s="1"/>
  <c r="V33" i="109"/>
  <c r="X33" i="109" s="1"/>
  <c r="V31" i="109"/>
  <c r="X31" i="109" s="1"/>
  <c r="V29" i="109"/>
  <c r="X29" i="109" s="1"/>
  <c r="V27" i="109"/>
  <c r="X27" i="109" s="1"/>
  <c r="V24" i="109"/>
  <c r="X24" i="109" s="1"/>
  <c r="W23" i="109"/>
  <c r="Y23" i="109" s="1"/>
  <c r="V20" i="109"/>
  <c r="X20" i="109" s="1"/>
  <c r="W19" i="109"/>
  <c r="Y19" i="109" s="1"/>
  <c r="V16" i="109"/>
  <c r="X16" i="109" s="1"/>
  <c r="Y15" i="109"/>
  <c r="W15" i="109"/>
  <c r="V12" i="109"/>
  <c r="X12" i="109" s="1"/>
  <c r="Y11" i="109"/>
  <c r="W11" i="109"/>
  <c r="V8" i="109"/>
  <c r="X8" i="109" s="1"/>
  <c r="Y7" i="109"/>
  <c r="W7" i="109"/>
  <c r="V5" i="109"/>
  <c r="X5" i="109" s="1"/>
  <c r="S73" i="109"/>
  <c r="O73" i="109"/>
  <c r="R73" i="109"/>
  <c r="N73" i="109"/>
  <c r="D190" i="109" l="1"/>
  <c r="D191" i="109"/>
  <c r="X73" i="109"/>
  <c r="Y73" i="109"/>
  <c r="V73" i="109"/>
  <c r="W73" i="109"/>
  <c r="B194" i="108" l="1"/>
  <c r="A2" i="108"/>
  <c r="T19" i="108" s="1"/>
  <c r="M4" i="108" l="1"/>
  <c r="L5" i="108"/>
  <c r="N6" i="108"/>
  <c r="L7" i="108"/>
  <c r="N8" i="108"/>
  <c r="N11" i="108"/>
  <c r="P12" i="108"/>
  <c r="N13" i="108"/>
  <c r="R14" i="108"/>
  <c r="N16" i="108"/>
  <c r="Q18" i="108"/>
  <c r="R18" i="108"/>
  <c r="P19" i="108"/>
  <c r="U35" i="108"/>
  <c r="U4" i="108"/>
  <c r="P5" i="108"/>
  <c r="T5" i="108"/>
  <c r="R6" i="108"/>
  <c r="P7" i="108"/>
  <c r="T7" i="108"/>
  <c r="R8" i="108"/>
  <c r="P9" i="108"/>
  <c r="R9" i="108"/>
  <c r="R10" i="108"/>
  <c r="R11" i="108"/>
  <c r="L12" i="108"/>
  <c r="T12" i="108"/>
  <c r="R13" i="108"/>
  <c r="L14" i="108"/>
  <c r="V14" i="108" s="1"/>
  <c r="S15" i="108"/>
  <c r="Q17" i="108"/>
  <c r="Q4" i="108"/>
  <c r="S4" i="108"/>
  <c r="Q5" i="108"/>
  <c r="N5" i="108"/>
  <c r="R5" i="108"/>
  <c r="L6" i="108"/>
  <c r="P6" i="108"/>
  <c r="T6" i="108"/>
  <c r="N7" i="108"/>
  <c r="R7" i="108"/>
  <c r="L8" i="108"/>
  <c r="P8" i="108"/>
  <c r="T8" i="108"/>
  <c r="U9" i="108"/>
  <c r="T9" i="108"/>
  <c r="U10" i="108"/>
  <c r="T10" i="108"/>
  <c r="U11" i="108"/>
  <c r="T11" i="108"/>
  <c r="N12" i="108"/>
  <c r="R12" i="108"/>
  <c r="L13" i="108"/>
  <c r="P13" i="108"/>
  <c r="T13" i="108"/>
  <c r="N14" i="108"/>
  <c r="Q15" i="108"/>
  <c r="Q16" i="108"/>
  <c r="R16" i="108"/>
  <c r="S17" i="108"/>
  <c r="N18" i="108"/>
  <c r="L19" i="108"/>
  <c r="Q23" i="108"/>
  <c r="O23" i="108"/>
  <c r="U47" i="108"/>
  <c r="S47" i="108"/>
  <c r="Q47" i="108"/>
  <c r="O47" i="108"/>
  <c r="M47" i="108"/>
  <c r="U46" i="108"/>
  <c r="S46" i="108"/>
  <c r="Q46" i="108"/>
  <c r="O46" i="108"/>
  <c r="M46" i="108"/>
  <c r="U45" i="108"/>
  <c r="S45" i="108"/>
  <c r="Q45" i="108"/>
  <c r="O45" i="108"/>
  <c r="M45" i="108"/>
  <c r="U44" i="108"/>
  <c r="S44" i="108"/>
  <c r="Q44" i="108"/>
  <c r="O44" i="108"/>
  <c r="M44" i="108"/>
  <c r="U43" i="108"/>
  <c r="S43" i="108"/>
  <c r="Q43" i="108"/>
  <c r="O43" i="108"/>
  <c r="M43" i="108"/>
  <c r="U42" i="108"/>
  <c r="S42" i="108"/>
  <c r="Q42" i="108"/>
  <c r="O42" i="108"/>
  <c r="M42" i="108"/>
  <c r="U41" i="108"/>
  <c r="S41" i="108"/>
  <c r="Q41" i="108"/>
  <c r="O41" i="108"/>
  <c r="M41" i="108"/>
  <c r="U40" i="108"/>
  <c r="S40" i="108"/>
  <c r="Q40" i="108"/>
  <c r="O40" i="108"/>
  <c r="M40" i="108"/>
  <c r="U39" i="108"/>
  <c r="S39" i="108"/>
  <c r="Q39" i="108"/>
  <c r="O39" i="108"/>
  <c r="M39" i="108"/>
  <c r="U38" i="108"/>
  <c r="S38" i="108"/>
  <c r="Q38" i="108"/>
  <c r="O38" i="108"/>
  <c r="M38" i="108"/>
  <c r="U37" i="108"/>
  <c r="S37" i="108"/>
  <c r="Q37" i="108"/>
  <c r="O37" i="108"/>
  <c r="M37" i="108"/>
  <c r="Q36" i="108"/>
  <c r="O36" i="108"/>
  <c r="P35" i="108"/>
  <c r="N35" i="108"/>
  <c r="L35" i="108"/>
  <c r="Q34" i="108"/>
  <c r="O34" i="108"/>
  <c r="T33" i="108"/>
  <c r="R33" i="108"/>
  <c r="P33" i="108"/>
  <c r="N33" i="108"/>
  <c r="L33" i="108"/>
  <c r="T32" i="108"/>
  <c r="R32" i="108"/>
  <c r="P32" i="108"/>
  <c r="N32" i="108"/>
  <c r="L32" i="108"/>
  <c r="T31" i="108"/>
  <c r="R31" i="108"/>
  <c r="P31" i="108"/>
  <c r="N31" i="108"/>
  <c r="L31" i="108"/>
  <c r="T30" i="108"/>
  <c r="R30" i="108"/>
  <c r="P30" i="108"/>
  <c r="N30" i="108"/>
  <c r="L30" i="108"/>
  <c r="T29" i="108"/>
  <c r="R29" i="108"/>
  <c r="P29" i="108"/>
  <c r="N29" i="108"/>
  <c r="L29" i="108"/>
  <c r="T28" i="108"/>
  <c r="R28" i="108"/>
  <c r="U27" i="108"/>
  <c r="S27" i="108"/>
  <c r="M27" i="108"/>
  <c r="T26" i="108"/>
  <c r="R26" i="108"/>
  <c r="U25" i="108"/>
  <c r="S25" i="108"/>
  <c r="M25" i="108"/>
  <c r="T24" i="108"/>
  <c r="R24" i="108"/>
  <c r="U23" i="108"/>
  <c r="S23" i="108"/>
  <c r="M23" i="108"/>
  <c r="T22" i="108"/>
  <c r="R22" i="108"/>
  <c r="U21" i="108"/>
  <c r="S21" i="108"/>
  <c r="M21" i="108"/>
  <c r="T20" i="108"/>
  <c r="R20" i="108"/>
  <c r="U19" i="108"/>
  <c r="S19" i="108"/>
  <c r="Q19" i="108"/>
  <c r="O19" i="108"/>
  <c r="M19" i="108"/>
  <c r="U18" i="108"/>
  <c r="S18" i="108"/>
  <c r="M18" i="108"/>
  <c r="T17" i="108"/>
  <c r="R17" i="108"/>
  <c r="U16" i="108"/>
  <c r="S16" i="108"/>
  <c r="M16" i="108"/>
  <c r="T15" i="108"/>
  <c r="R15" i="108"/>
  <c r="U14" i="108"/>
  <c r="S14" i="108"/>
  <c r="Q14" i="108"/>
  <c r="O14" i="108"/>
  <c r="P20" i="108"/>
  <c r="N20" i="108"/>
  <c r="L20" i="108"/>
  <c r="P26" i="108"/>
  <c r="N26" i="108"/>
  <c r="L26" i="108"/>
  <c r="P28" i="108"/>
  <c r="N28" i="108"/>
  <c r="L28" i="108"/>
  <c r="O4" i="108"/>
  <c r="W4" i="108"/>
  <c r="Y4" i="108" s="1"/>
  <c r="N9" i="108"/>
  <c r="N10" i="108"/>
  <c r="P10" i="108"/>
  <c r="L11" i="108"/>
  <c r="P11" i="108"/>
  <c r="V13" i="108"/>
  <c r="X13" i="108" s="1"/>
  <c r="L4" i="108"/>
  <c r="N4" i="108"/>
  <c r="P4" i="108"/>
  <c r="R4" i="108"/>
  <c r="T4" i="108"/>
  <c r="M5" i="108"/>
  <c r="O5" i="108"/>
  <c r="S5" i="108"/>
  <c r="U5" i="108"/>
  <c r="M6" i="108"/>
  <c r="O6" i="108"/>
  <c r="Q6" i="108"/>
  <c r="S6" i="108"/>
  <c r="U6" i="108"/>
  <c r="M7" i="108"/>
  <c r="O7" i="108"/>
  <c r="Q7" i="108"/>
  <c r="S7" i="108"/>
  <c r="U7" i="108"/>
  <c r="M8" i="108"/>
  <c r="O8" i="108"/>
  <c r="Q8" i="108"/>
  <c r="S8" i="108"/>
  <c r="U8" i="108"/>
  <c r="M9" i="108"/>
  <c r="O9" i="108"/>
  <c r="Q9" i="108"/>
  <c r="S9" i="108"/>
  <c r="M10" i="108"/>
  <c r="O10" i="108"/>
  <c r="Q10" i="108"/>
  <c r="S10" i="108"/>
  <c r="M11" i="108"/>
  <c r="O11" i="108"/>
  <c r="Q11" i="108"/>
  <c r="S11" i="108"/>
  <c r="M12" i="108"/>
  <c r="O12" i="108"/>
  <c r="Q12" i="108"/>
  <c r="S12" i="108"/>
  <c r="U12" i="108"/>
  <c r="M13" i="108"/>
  <c r="O13" i="108"/>
  <c r="Q13" i="108"/>
  <c r="S13" i="108"/>
  <c r="U13" i="108"/>
  <c r="M14" i="108"/>
  <c r="P14" i="108"/>
  <c r="T14" i="108"/>
  <c r="X14" i="108"/>
  <c r="M15" i="108"/>
  <c r="U15" i="108"/>
  <c r="L16" i="108"/>
  <c r="P16" i="108"/>
  <c r="T16" i="108"/>
  <c r="M17" i="108"/>
  <c r="U17" i="108"/>
  <c r="L18" i="108"/>
  <c r="P18" i="108"/>
  <c r="T18" i="108"/>
  <c r="N19" i="108"/>
  <c r="R19" i="108"/>
  <c r="V19" i="108"/>
  <c r="X19" i="108" s="1"/>
  <c r="O20" i="108"/>
  <c r="S20" i="108"/>
  <c r="T21" i="108"/>
  <c r="M22" i="108"/>
  <c r="U22" i="108"/>
  <c r="N23" i="108"/>
  <c r="R23" i="108"/>
  <c r="S24" i="108"/>
  <c r="Q25" i="108"/>
  <c r="N25" i="108"/>
  <c r="R25" i="108"/>
  <c r="O26" i="108"/>
  <c r="S26" i="108"/>
  <c r="Q27" i="108"/>
  <c r="N27" i="108"/>
  <c r="R27" i="108"/>
  <c r="O28" i="108"/>
  <c r="S28" i="108"/>
  <c r="M29" i="108"/>
  <c r="Q29" i="108"/>
  <c r="U29" i="108"/>
  <c r="O30" i="108"/>
  <c r="S30" i="108"/>
  <c r="M31" i="108"/>
  <c r="Q31" i="108"/>
  <c r="U31" i="108"/>
  <c r="O32" i="108"/>
  <c r="S32" i="108"/>
  <c r="M33" i="108"/>
  <c r="Q33" i="108"/>
  <c r="U33" i="108"/>
  <c r="L34" i="108"/>
  <c r="P34" i="108"/>
  <c r="T34" i="108"/>
  <c r="M35" i="108"/>
  <c r="Q35" i="108"/>
  <c r="L36" i="108"/>
  <c r="P36" i="108"/>
  <c r="T36" i="108"/>
  <c r="N37" i="108"/>
  <c r="R37" i="108"/>
  <c r="L38" i="108"/>
  <c r="P38" i="108"/>
  <c r="T38" i="108"/>
  <c r="N39" i="108"/>
  <c r="R39" i="108"/>
  <c r="L40" i="108"/>
  <c r="P40" i="108"/>
  <c r="T40" i="108"/>
  <c r="N41" i="108"/>
  <c r="R41" i="108"/>
  <c r="L42" i="108"/>
  <c r="P42" i="108"/>
  <c r="T42" i="108"/>
  <c r="N43" i="108"/>
  <c r="R43" i="108"/>
  <c r="L44" i="108"/>
  <c r="P44" i="108"/>
  <c r="T44" i="108"/>
  <c r="N45" i="108"/>
  <c r="R45" i="108"/>
  <c r="L46" i="108"/>
  <c r="P46" i="108"/>
  <c r="T46" i="108"/>
  <c r="N47" i="108"/>
  <c r="R47" i="108"/>
  <c r="P15" i="108"/>
  <c r="N15" i="108"/>
  <c r="L15" i="108"/>
  <c r="P17" i="108"/>
  <c r="N17" i="108"/>
  <c r="L17" i="108"/>
  <c r="T35" i="108"/>
  <c r="R35" i="108"/>
  <c r="V5" i="108"/>
  <c r="X5" i="108" s="1"/>
  <c r="V6" i="108"/>
  <c r="X6" i="108" s="1"/>
  <c r="V7" i="108"/>
  <c r="X7" i="108" s="1"/>
  <c r="V8" i="108"/>
  <c r="X8" i="108" s="1"/>
  <c r="L9" i="108"/>
  <c r="L10" i="108"/>
  <c r="V12" i="108"/>
  <c r="X12" i="108" s="1"/>
  <c r="O15" i="108"/>
  <c r="O17" i="108"/>
  <c r="M20" i="108"/>
  <c r="Q20" i="108"/>
  <c r="U20" i="108"/>
  <c r="R21" i="108"/>
  <c r="S22" i="108"/>
  <c r="L23" i="108"/>
  <c r="P23" i="108"/>
  <c r="T23" i="108"/>
  <c r="M24" i="108"/>
  <c r="U24" i="108"/>
  <c r="L25" i="108"/>
  <c r="P25" i="108"/>
  <c r="T25" i="108"/>
  <c r="M26" i="108"/>
  <c r="Q26" i="108"/>
  <c r="U26" i="108"/>
  <c r="L27" i="108"/>
  <c r="P27" i="108"/>
  <c r="T27" i="108"/>
  <c r="M28" i="108"/>
  <c r="Q28" i="108"/>
  <c r="U28" i="108"/>
  <c r="O29" i="108"/>
  <c r="S29" i="108"/>
  <c r="M30" i="108"/>
  <c r="Q30" i="108"/>
  <c r="U30" i="108"/>
  <c r="O31" i="108"/>
  <c r="S31" i="108"/>
  <c r="M32" i="108"/>
  <c r="Q32" i="108"/>
  <c r="U32" i="108"/>
  <c r="O33" i="108"/>
  <c r="S33" i="108"/>
  <c r="U34" i="108"/>
  <c r="N34" i="108"/>
  <c r="R34" i="108"/>
  <c r="O35" i="108"/>
  <c r="S35" i="108"/>
  <c r="U36" i="108"/>
  <c r="N36" i="108"/>
  <c r="R36" i="108"/>
  <c r="L37" i="108"/>
  <c r="P37" i="108"/>
  <c r="T37" i="108"/>
  <c r="N38" i="108"/>
  <c r="R38" i="108"/>
  <c r="L39" i="108"/>
  <c r="P39" i="108"/>
  <c r="T39" i="108"/>
  <c r="N40" i="108"/>
  <c r="R40" i="108"/>
  <c r="L41" i="108"/>
  <c r="P41" i="108"/>
  <c r="T41" i="108"/>
  <c r="N42" i="108"/>
  <c r="R42" i="108"/>
  <c r="L43" i="108"/>
  <c r="P43" i="108"/>
  <c r="T43" i="108"/>
  <c r="N44" i="108"/>
  <c r="R44" i="108"/>
  <c r="L45" i="108"/>
  <c r="P45" i="108"/>
  <c r="T45" i="108"/>
  <c r="N46" i="108"/>
  <c r="R46" i="108"/>
  <c r="L47" i="108"/>
  <c r="P47" i="108"/>
  <c r="T47" i="108"/>
  <c r="O16" i="108"/>
  <c r="O18" i="108"/>
  <c r="O25" i="108"/>
  <c r="O27" i="108"/>
  <c r="M34" i="108"/>
  <c r="S34" i="108"/>
  <c r="M36" i="108"/>
  <c r="S36" i="108"/>
  <c r="S48" i="108" l="1"/>
  <c r="U48" i="108"/>
  <c r="V43" i="108"/>
  <c r="X43" i="108" s="1"/>
  <c r="W28" i="108"/>
  <c r="Y28" i="108" s="1"/>
  <c r="W26" i="108"/>
  <c r="Y26" i="108" s="1"/>
  <c r="P22" i="108"/>
  <c r="N22" i="108"/>
  <c r="L22" i="108"/>
  <c r="O22" i="108"/>
  <c r="Q22" i="108"/>
  <c r="W20" i="108"/>
  <c r="Y20" i="108" s="1"/>
  <c r="V44" i="108"/>
  <c r="X44" i="108" s="1"/>
  <c r="W35" i="108"/>
  <c r="Y35" i="108" s="1"/>
  <c r="W29" i="108"/>
  <c r="Y29" i="108" s="1"/>
  <c r="W36" i="108"/>
  <c r="Y36" i="108" s="1"/>
  <c r="W34" i="108"/>
  <c r="Y34" i="108" s="1"/>
  <c r="V45" i="108"/>
  <c r="X45" i="108" s="1"/>
  <c r="V41" i="108"/>
  <c r="X41" i="108" s="1"/>
  <c r="V37" i="108"/>
  <c r="X37" i="108" s="1"/>
  <c r="W30" i="108"/>
  <c r="Y30" i="108" s="1"/>
  <c r="V27" i="108"/>
  <c r="X27" i="108" s="1"/>
  <c r="V25" i="108"/>
  <c r="X25" i="108" s="1"/>
  <c r="W24" i="108"/>
  <c r="Y24" i="108" s="1"/>
  <c r="V9" i="108"/>
  <c r="X9" i="108" s="1"/>
  <c r="V15" i="108"/>
  <c r="X15" i="108" s="1"/>
  <c r="V46" i="108"/>
  <c r="X46" i="108" s="1"/>
  <c r="V42" i="108"/>
  <c r="X42" i="108" s="1"/>
  <c r="V38" i="108"/>
  <c r="X38" i="108" s="1"/>
  <c r="V34" i="108"/>
  <c r="X34" i="108" s="1"/>
  <c r="W31" i="108"/>
  <c r="Y31" i="108" s="1"/>
  <c r="V18" i="108"/>
  <c r="X18" i="108" s="1"/>
  <c r="W17" i="108"/>
  <c r="Y17" i="108" s="1"/>
  <c r="W13" i="108"/>
  <c r="Y13" i="108" s="1"/>
  <c r="W8" i="108"/>
  <c r="Y8" i="108" s="1"/>
  <c r="W6" i="108"/>
  <c r="Y6" i="108" s="1"/>
  <c r="W5" i="108"/>
  <c r="Y5" i="108" s="1"/>
  <c r="V11" i="108"/>
  <c r="X11" i="108" s="1"/>
  <c r="V28" i="108"/>
  <c r="X28" i="108" s="1"/>
  <c r="V20" i="108"/>
  <c r="X20" i="108" s="1"/>
  <c r="W18" i="108"/>
  <c r="Y18" i="108" s="1"/>
  <c r="W21" i="108"/>
  <c r="Y21" i="108" s="1"/>
  <c r="W25" i="108"/>
  <c r="Y25" i="108" s="1"/>
  <c r="V29" i="108"/>
  <c r="X29" i="108" s="1"/>
  <c r="V31" i="108"/>
  <c r="X31" i="108" s="1"/>
  <c r="V33" i="108"/>
  <c r="X33" i="108" s="1"/>
  <c r="W37" i="108"/>
  <c r="Y37" i="108" s="1"/>
  <c r="W39" i="108"/>
  <c r="Y39" i="108" s="1"/>
  <c r="W41" i="108"/>
  <c r="Y41" i="108" s="1"/>
  <c r="W43" i="108"/>
  <c r="Y43" i="108" s="1"/>
  <c r="W45" i="108"/>
  <c r="Y45" i="108" s="1"/>
  <c r="W47" i="108"/>
  <c r="Y47" i="108" s="1"/>
  <c r="R48" i="108"/>
  <c r="V47" i="108"/>
  <c r="X47" i="108" s="1"/>
  <c r="V39" i="108"/>
  <c r="X39" i="108" s="1"/>
  <c r="W32" i="108"/>
  <c r="Y32" i="108" s="1"/>
  <c r="V23" i="108"/>
  <c r="X23" i="108" s="1"/>
  <c r="V10" i="108"/>
  <c r="X10" i="108" s="1"/>
  <c r="V17" i="108"/>
  <c r="X17" i="108" s="1"/>
  <c r="Q21" i="108"/>
  <c r="O21" i="108"/>
  <c r="N21" i="108"/>
  <c r="P21" i="108"/>
  <c r="L21" i="108"/>
  <c r="L48" i="108" s="1"/>
  <c r="V40" i="108"/>
  <c r="X40" i="108" s="1"/>
  <c r="V36" i="108"/>
  <c r="X36" i="108" s="1"/>
  <c r="W33" i="108"/>
  <c r="Y33" i="108" s="1"/>
  <c r="P24" i="108"/>
  <c r="N24" i="108"/>
  <c r="L24" i="108"/>
  <c r="Q24" i="108"/>
  <c r="O24" i="108"/>
  <c r="W22" i="108"/>
  <c r="Y22" i="108" s="1"/>
  <c r="V16" i="108"/>
  <c r="X16" i="108" s="1"/>
  <c r="W15" i="108"/>
  <c r="Y15" i="108" s="1"/>
  <c r="W14" i="108"/>
  <c r="Y14" i="108" s="1"/>
  <c r="W12" i="108"/>
  <c r="Y12" i="108" s="1"/>
  <c r="W11" i="108"/>
  <c r="Y11" i="108" s="1"/>
  <c r="W10" i="108"/>
  <c r="Y10" i="108" s="1"/>
  <c r="W9" i="108"/>
  <c r="Y9" i="108" s="1"/>
  <c r="W7" i="108"/>
  <c r="Y7" i="108" s="1"/>
  <c r="V4" i="108"/>
  <c r="V26" i="108"/>
  <c r="X26" i="108" s="1"/>
  <c r="W16" i="108"/>
  <c r="Y16" i="108" s="1"/>
  <c r="W19" i="108"/>
  <c r="Y19" i="108" s="1"/>
  <c r="Y23" i="108"/>
  <c r="W23" i="108"/>
  <c r="W27" i="108"/>
  <c r="Y27" i="108" s="1"/>
  <c r="X30" i="108"/>
  <c r="V30" i="108"/>
  <c r="V32" i="108"/>
  <c r="X32" i="108" s="1"/>
  <c r="X35" i="108"/>
  <c r="V35" i="108"/>
  <c r="W38" i="108"/>
  <c r="Y38" i="108" s="1"/>
  <c r="Y40" i="108"/>
  <c r="W40" i="108"/>
  <c r="W42" i="108"/>
  <c r="Y42" i="108" s="1"/>
  <c r="Y44" i="108"/>
  <c r="W44" i="108"/>
  <c r="W46" i="108"/>
  <c r="Y46" i="108" s="1"/>
  <c r="T48" i="108"/>
  <c r="M48" i="108"/>
  <c r="W48" i="108" l="1"/>
  <c r="P48" i="108"/>
  <c r="N48" i="108"/>
  <c r="Q48" i="108"/>
  <c r="O48" i="108"/>
  <c r="Y48" i="108"/>
  <c r="D195" i="108"/>
  <c r="V24" i="108"/>
  <c r="X24" i="108" s="1"/>
  <c r="V22" i="108"/>
  <c r="X22" i="108" s="1"/>
  <c r="X4" i="108"/>
  <c r="D194" i="108"/>
  <c r="V21" i="108"/>
  <c r="V48" i="108" l="1"/>
  <c r="X21" i="108"/>
  <c r="X48" i="108" s="1"/>
  <c r="B196" i="107" l="1"/>
  <c r="A2" i="107"/>
  <c r="T18" i="107" l="1"/>
  <c r="L19" i="107"/>
  <c r="L21" i="107"/>
  <c r="V21" i="107" s="1"/>
  <c r="X21" i="107" s="1"/>
  <c r="P19" i="107"/>
  <c r="T19" i="107"/>
  <c r="P20" i="107"/>
  <c r="T20" i="107"/>
  <c r="P21" i="107"/>
  <c r="T21" i="107"/>
  <c r="L20" i="107"/>
  <c r="N20" i="107"/>
  <c r="R21" i="107"/>
  <c r="M19" i="107"/>
  <c r="M21" i="107"/>
  <c r="W21" i="107" s="1"/>
  <c r="Y21" i="107" s="1"/>
  <c r="Q19" i="107"/>
  <c r="U19" i="107"/>
  <c r="Q20" i="107"/>
  <c r="U20" i="107"/>
  <c r="Q21" i="107"/>
  <c r="U21" i="107"/>
  <c r="N19" i="107"/>
  <c r="R20" i="107"/>
  <c r="M20" i="107"/>
  <c r="O19" i="107"/>
  <c r="S19" i="107"/>
  <c r="O20" i="107"/>
  <c r="S20" i="107"/>
  <c r="O21" i="107"/>
  <c r="S21" i="107"/>
  <c r="R19" i="107"/>
  <c r="N21" i="107"/>
  <c r="P6" i="107"/>
  <c r="P9" i="107"/>
  <c r="P12" i="107"/>
  <c r="P18" i="107"/>
  <c r="Q5" i="107"/>
  <c r="Q8" i="107"/>
  <c r="Q11" i="107"/>
  <c r="Q17" i="107"/>
  <c r="M4" i="107"/>
  <c r="Q4" i="107"/>
  <c r="U4" i="107"/>
  <c r="N5" i="107"/>
  <c r="R5" i="107"/>
  <c r="M6" i="107"/>
  <c r="S6" i="107"/>
  <c r="M7" i="107"/>
  <c r="Q7" i="107"/>
  <c r="U7" i="107"/>
  <c r="N8" i="107"/>
  <c r="R8" i="107"/>
  <c r="M9" i="107"/>
  <c r="S9" i="107"/>
  <c r="M10" i="107"/>
  <c r="Q10" i="107"/>
  <c r="U10" i="107"/>
  <c r="N11" i="107"/>
  <c r="R11" i="107"/>
  <c r="S12" i="107"/>
  <c r="M13" i="107"/>
  <c r="Q13" i="107"/>
  <c r="U13" i="107"/>
  <c r="M14" i="107"/>
  <c r="Q14" i="107"/>
  <c r="S14" i="107"/>
  <c r="U14" i="107"/>
  <c r="M15" i="107"/>
  <c r="O15" i="107"/>
  <c r="Q15" i="107"/>
  <c r="S15" i="107"/>
  <c r="U15" i="107"/>
  <c r="M16" i="107"/>
  <c r="O16" i="107"/>
  <c r="Q16" i="107"/>
  <c r="S16" i="107"/>
  <c r="U16" i="107"/>
  <c r="L17" i="107"/>
  <c r="N17" i="107"/>
  <c r="P17" i="107"/>
  <c r="R17" i="107"/>
  <c r="T17" i="107"/>
  <c r="M18" i="107"/>
  <c r="O18" i="107"/>
  <c r="Q18" i="107"/>
  <c r="S18" i="107"/>
  <c r="U18" i="107"/>
  <c r="O4" i="107"/>
  <c r="S4" i="107"/>
  <c r="L5" i="107"/>
  <c r="P5" i="107"/>
  <c r="T5" i="107"/>
  <c r="O6" i="107"/>
  <c r="Q6" i="107"/>
  <c r="U6" i="107"/>
  <c r="O7" i="107"/>
  <c r="S7" i="107"/>
  <c r="L8" i="107"/>
  <c r="P8" i="107"/>
  <c r="T8" i="107"/>
  <c r="O9" i="107"/>
  <c r="Q9" i="107"/>
  <c r="U9" i="107"/>
  <c r="O10" i="107"/>
  <c r="S10" i="107"/>
  <c r="L11" i="107"/>
  <c r="P11" i="107"/>
  <c r="T11" i="107"/>
  <c r="M12" i="107"/>
  <c r="O12" i="107"/>
  <c r="Q12" i="107"/>
  <c r="U12" i="107"/>
  <c r="O13" i="107"/>
  <c r="S13" i="107"/>
  <c r="O14" i="107"/>
  <c r="L4" i="107"/>
  <c r="N4" i="107"/>
  <c r="P4" i="107"/>
  <c r="R4" i="107"/>
  <c r="T4" i="107"/>
  <c r="M5" i="107"/>
  <c r="O5" i="107"/>
  <c r="S5" i="107"/>
  <c r="U5" i="107"/>
  <c r="L6" i="107"/>
  <c r="N6" i="107"/>
  <c r="R6" i="107"/>
  <c r="T6" i="107"/>
  <c r="L7" i="107"/>
  <c r="N7" i="107"/>
  <c r="P7" i="107"/>
  <c r="R7" i="107"/>
  <c r="T7" i="107"/>
  <c r="M8" i="107"/>
  <c r="O8" i="107"/>
  <c r="S8" i="107"/>
  <c r="U8" i="107"/>
  <c r="L9" i="107"/>
  <c r="N9" i="107"/>
  <c r="R9" i="107"/>
  <c r="T9" i="107"/>
  <c r="L10" i="107"/>
  <c r="N10" i="107"/>
  <c r="P10" i="107"/>
  <c r="R10" i="107"/>
  <c r="T10" i="107"/>
  <c r="M11" i="107"/>
  <c r="O11" i="107"/>
  <c r="S11" i="107"/>
  <c r="U11" i="107"/>
  <c r="L12" i="107"/>
  <c r="N12" i="107"/>
  <c r="R12" i="107"/>
  <c r="T12" i="107"/>
  <c r="L13" i="107"/>
  <c r="N13" i="107"/>
  <c r="P13" i="107"/>
  <c r="R13" i="107"/>
  <c r="T13" i="107"/>
  <c r="L14" i="107"/>
  <c r="N14" i="107"/>
  <c r="P14" i="107"/>
  <c r="R14" i="107"/>
  <c r="T14" i="107"/>
  <c r="L15" i="107"/>
  <c r="V15" i="107" s="1"/>
  <c r="X15" i="107" s="1"/>
  <c r="N15" i="107"/>
  <c r="P15" i="107"/>
  <c r="R15" i="107"/>
  <c r="T15" i="107"/>
  <c r="L16" i="107"/>
  <c r="N16" i="107"/>
  <c r="P16" i="107"/>
  <c r="R16" i="107"/>
  <c r="T16" i="107"/>
  <c r="M17" i="107"/>
  <c r="O17" i="107"/>
  <c r="S17" i="107"/>
  <c r="U17" i="107"/>
  <c r="L18" i="107"/>
  <c r="N18" i="107"/>
  <c r="R18" i="107"/>
  <c r="X18" i="107" l="1"/>
  <c r="V18" i="107"/>
  <c r="X12" i="107"/>
  <c r="V12" i="107"/>
  <c r="R22" i="107"/>
  <c r="U22" i="107"/>
  <c r="V20" i="107"/>
  <c r="X20" i="107" s="1"/>
  <c r="X16" i="107"/>
  <c r="V16" i="107"/>
  <c r="X7" i="107"/>
  <c r="V7" i="107"/>
  <c r="X6" i="107"/>
  <c r="V6" i="107"/>
  <c r="W5" i="107"/>
  <c r="Y5" i="107" s="1"/>
  <c r="N22" i="107"/>
  <c r="W12" i="107"/>
  <c r="Y12" i="107"/>
  <c r="S22" i="107"/>
  <c r="Y16" i="107"/>
  <c r="W16" i="107"/>
  <c r="W13" i="107"/>
  <c r="Y13" i="107" s="1"/>
  <c r="W9" i="107"/>
  <c r="Y9" i="107" s="1"/>
  <c r="M22" i="107"/>
  <c r="V13" i="107"/>
  <c r="X13" i="107" s="1"/>
  <c r="V14" i="107"/>
  <c r="X14" i="107" s="1"/>
  <c r="T22" i="107"/>
  <c r="L22" i="107"/>
  <c r="O22" i="107"/>
  <c r="W15" i="107"/>
  <c r="Y15" i="107" s="1"/>
  <c r="W14" i="107"/>
  <c r="Y14" i="107" s="1"/>
  <c r="W7" i="107"/>
  <c r="Y7" i="107" s="1"/>
  <c r="W20" i="107"/>
  <c r="Y20" i="107" s="1"/>
  <c r="Y17" i="107"/>
  <c r="W17" i="107"/>
  <c r="W18" i="107"/>
  <c r="Y18" i="107" s="1"/>
  <c r="V19" i="107"/>
  <c r="V22" i="107" s="1"/>
  <c r="W11" i="107"/>
  <c r="Y11" i="107" s="1"/>
  <c r="W10" i="107"/>
  <c r="Y10" i="107" s="1"/>
  <c r="V10" i="107"/>
  <c r="X10" i="107" s="1"/>
  <c r="X9" i="107"/>
  <c r="V9" i="107"/>
  <c r="W8" i="107"/>
  <c r="Y8" i="107"/>
  <c r="P22" i="107"/>
  <c r="V11" i="107"/>
  <c r="X11" i="107" s="1"/>
  <c r="V8" i="107"/>
  <c r="X8" i="107" s="1"/>
  <c r="V5" i="107"/>
  <c r="X5" i="107" s="1"/>
  <c r="V17" i="107"/>
  <c r="X17" i="107" s="1"/>
  <c r="W6" i="107"/>
  <c r="Y6" i="107"/>
  <c r="Q22" i="107"/>
  <c r="W19" i="107"/>
  <c r="Y19" i="107" s="1"/>
  <c r="V4" i="107"/>
  <c r="W4" i="107"/>
  <c r="Y4" i="107"/>
  <c r="W22" i="107" l="1"/>
  <c r="X19" i="107"/>
  <c r="Y22" i="107"/>
  <c r="D197" i="107"/>
  <c r="D196" i="107"/>
  <c r="X4" i="107"/>
  <c r="X22" i="107" l="1"/>
  <c r="B193" i="106"/>
  <c r="A2" i="106"/>
  <c r="T18" i="106" s="1"/>
  <c r="M4" i="106" l="1"/>
  <c r="S4" i="106"/>
  <c r="M5" i="106"/>
  <c r="Q5" i="106"/>
  <c r="M6" i="106"/>
  <c r="Q6" i="106"/>
  <c r="U6" i="106"/>
  <c r="M7" i="106"/>
  <c r="Q7" i="106"/>
  <c r="U7" i="106"/>
  <c r="O8" i="106"/>
  <c r="S8" i="106"/>
  <c r="M9" i="106"/>
  <c r="Q9" i="106"/>
  <c r="U9" i="106"/>
  <c r="O10" i="106"/>
  <c r="S10" i="106"/>
  <c r="M11" i="106"/>
  <c r="Q11" i="106"/>
  <c r="M12" i="106"/>
  <c r="Q12" i="106"/>
  <c r="M13" i="106"/>
  <c r="S13" i="106"/>
  <c r="M14" i="106"/>
  <c r="S14" i="106"/>
  <c r="M15" i="106"/>
  <c r="Q15" i="106"/>
  <c r="U15" i="106"/>
  <c r="O16" i="106"/>
  <c r="U16" i="106"/>
  <c r="M17" i="106"/>
  <c r="Q17" i="106"/>
  <c r="U17" i="106"/>
  <c r="O18" i="106"/>
  <c r="S18" i="106"/>
  <c r="U18" i="106"/>
  <c r="O4" i="106"/>
  <c r="Q4" i="106"/>
  <c r="U4" i="106"/>
  <c r="O5" i="106"/>
  <c r="S5" i="106"/>
  <c r="U5" i="106"/>
  <c r="O6" i="106"/>
  <c r="S6" i="106"/>
  <c r="O7" i="106"/>
  <c r="S7" i="106"/>
  <c r="M8" i="106"/>
  <c r="Q8" i="106"/>
  <c r="U8" i="106"/>
  <c r="O9" i="106"/>
  <c r="S9" i="106"/>
  <c r="M10" i="106"/>
  <c r="Q10" i="106"/>
  <c r="U10" i="106"/>
  <c r="O11" i="106"/>
  <c r="S11" i="106"/>
  <c r="U11" i="106"/>
  <c r="O12" i="106"/>
  <c r="S12" i="106"/>
  <c r="U12" i="106"/>
  <c r="O13" i="106"/>
  <c r="Q13" i="106"/>
  <c r="U13" i="106"/>
  <c r="O14" i="106"/>
  <c r="Q14" i="106"/>
  <c r="U14" i="106"/>
  <c r="O15" i="106"/>
  <c r="S15" i="106"/>
  <c r="M16" i="106"/>
  <c r="Q16" i="106"/>
  <c r="S16" i="106"/>
  <c r="O17" i="106"/>
  <c r="S17" i="106"/>
  <c r="M18" i="106"/>
  <c r="Q18" i="106"/>
  <c r="L4" i="106"/>
  <c r="N4" i="106"/>
  <c r="P4" i="106"/>
  <c r="R4" i="106"/>
  <c r="T4" i="106"/>
  <c r="L5" i="106"/>
  <c r="N5" i="106"/>
  <c r="P5" i="106"/>
  <c r="R5" i="106"/>
  <c r="T5" i="106"/>
  <c r="L6" i="106"/>
  <c r="N6" i="106"/>
  <c r="P6" i="106"/>
  <c r="R6" i="106"/>
  <c r="T6" i="106"/>
  <c r="L7" i="106"/>
  <c r="N7" i="106"/>
  <c r="P7" i="106"/>
  <c r="R7" i="106"/>
  <c r="T7" i="106"/>
  <c r="L8" i="106"/>
  <c r="N8" i="106"/>
  <c r="P8" i="106"/>
  <c r="R8" i="106"/>
  <c r="T8" i="106"/>
  <c r="L9" i="106"/>
  <c r="N9" i="106"/>
  <c r="P9" i="106"/>
  <c r="R9" i="106"/>
  <c r="T9" i="106"/>
  <c r="L10" i="106"/>
  <c r="N10" i="106"/>
  <c r="P10" i="106"/>
  <c r="R10" i="106"/>
  <c r="T10" i="106"/>
  <c r="L11" i="106"/>
  <c r="N11" i="106"/>
  <c r="P11" i="106"/>
  <c r="R11" i="106"/>
  <c r="T11" i="106"/>
  <c r="L12" i="106"/>
  <c r="N12" i="106"/>
  <c r="P12" i="106"/>
  <c r="R12" i="106"/>
  <c r="T12" i="106"/>
  <c r="L13" i="106"/>
  <c r="N13" i="106"/>
  <c r="P13" i="106"/>
  <c r="R13" i="106"/>
  <c r="T13" i="106"/>
  <c r="L14" i="106"/>
  <c r="N14" i="106"/>
  <c r="P14" i="106"/>
  <c r="R14" i="106"/>
  <c r="T14" i="106"/>
  <c r="L15" i="106"/>
  <c r="N15" i="106"/>
  <c r="P15" i="106"/>
  <c r="R15" i="106"/>
  <c r="T15" i="106"/>
  <c r="L16" i="106"/>
  <c r="N16" i="106"/>
  <c r="P16" i="106"/>
  <c r="R16" i="106"/>
  <c r="T16" i="106"/>
  <c r="L17" i="106"/>
  <c r="N17" i="106"/>
  <c r="P17" i="106"/>
  <c r="R17" i="106"/>
  <c r="T17" i="106"/>
  <c r="L18" i="106"/>
  <c r="N18" i="106"/>
  <c r="P18" i="106"/>
  <c r="R18" i="106"/>
  <c r="V18" i="106" l="1"/>
  <c r="X18" i="106" s="1"/>
  <c r="V14" i="106"/>
  <c r="X14" i="106" s="1"/>
  <c r="V12" i="106"/>
  <c r="X12" i="106" s="1"/>
  <c r="V8" i="106"/>
  <c r="X8" i="106" s="1"/>
  <c r="V6" i="106"/>
  <c r="X6" i="106" s="1"/>
  <c r="W18" i="106"/>
  <c r="Y18" i="106" s="1"/>
  <c r="W10" i="106"/>
  <c r="Y10" i="106" s="1"/>
  <c r="W15" i="106"/>
  <c r="Y15" i="106" s="1"/>
  <c r="W14" i="106"/>
  <c r="Y14" i="106" s="1"/>
  <c r="W12" i="106"/>
  <c r="Y12" i="106" s="1"/>
  <c r="W11" i="106"/>
  <c r="Y11" i="106" s="1"/>
  <c r="W7" i="106"/>
  <c r="Y7" i="106" s="1"/>
  <c r="V17" i="106"/>
  <c r="X17" i="106" s="1"/>
  <c r="V15" i="106"/>
  <c r="X15" i="106" s="1"/>
  <c r="V13" i="106"/>
  <c r="X13" i="106" s="1"/>
  <c r="V11" i="106"/>
  <c r="X11" i="106" s="1"/>
  <c r="V9" i="106"/>
  <c r="X9" i="106" s="1"/>
  <c r="V7" i="106"/>
  <c r="X7" i="106" s="1"/>
  <c r="V5" i="106"/>
  <c r="X5" i="106" s="1"/>
  <c r="W16" i="106"/>
  <c r="Y16" i="106" s="1"/>
  <c r="W8" i="106"/>
  <c r="Y8" i="106" s="1"/>
  <c r="W17" i="106"/>
  <c r="Y17" i="106" s="1"/>
  <c r="W9" i="106"/>
  <c r="Y9" i="106" s="1"/>
  <c r="W6" i="106"/>
  <c r="Y6" i="106" s="1"/>
  <c r="W5" i="106"/>
  <c r="Y5" i="106" s="1"/>
  <c r="M19" i="106"/>
  <c r="W4" i="106"/>
  <c r="T19" i="106"/>
  <c r="P19" i="106"/>
  <c r="Q19" i="106"/>
  <c r="R19" i="106"/>
  <c r="N19" i="106"/>
  <c r="U19" i="106"/>
  <c r="O19" i="106"/>
  <c r="V16" i="106"/>
  <c r="X16" i="106" s="1"/>
  <c r="V10" i="106"/>
  <c r="X10" i="106" s="1"/>
  <c r="L19" i="106"/>
  <c r="V4" i="106"/>
  <c r="X4" i="106" s="1"/>
  <c r="W13" i="106"/>
  <c r="Y13" i="106" s="1"/>
  <c r="S19" i="106"/>
  <c r="V19" i="106" l="1"/>
  <c r="W19" i="106"/>
  <c r="Y4" i="106"/>
  <c r="Y19" i="106" s="1"/>
  <c r="X19" i="106"/>
  <c r="B183" i="105" l="1"/>
  <c r="C37" i="105"/>
  <c r="C36" i="105"/>
  <c r="C39" i="105" s="1"/>
  <c r="A2" i="105"/>
  <c r="Q29" i="105" l="1"/>
  <c r="Q31" i="105"/>
  <c r="Q33" i="105"/>
  <c r="U35" i="105"/>
  <c r="U36" i="105"/>
  <c r="P37" i="105"/>
  <c r="Q30" i="105"/>
  <c r="Q32" i="105"/>
  <c r="Q34" i="105"/>
  <c r="Q37" i="105"/>
  <c r="U37" i="105"/>
  <c r="Q39" i="105"/>
  <c r="O39" i="105"/>
  <c r="C40" i="105"/>
  <c r="P40" i="105" s="1"/>
  <c r="U39" i="105"/>
  <c r="P39" i="105"/>
  <c r="T72" i="105"/>
  <c r="R72" i="105"/>
  <c r="P72" i="105"/>
  <c r="N72" i="105"/>
  <c r="L72" i="105"/>
  <c r="T71" i="105"/>
  <c r="R71" i="105"/>
  <c r="U70" i="105"/>
  <c r="S70" i="105"/>
  <c r="Q70" i="105"/>
  <c r="O70" i="105"/>
  <c r="M70" i="105"/>
  <c r="U69" i="105"/>
  <c r="S69" i="105"/>
  <c r="Q69" i="105"/>
  <c r="O69" i="105"/>
  <c r="M69" i="105"/>
  <c r="U68" i="105"/>
  <c r="S68" i="105"/>
  <c r="Q68" i="105"/>
  <c r="O68" i="105"/>
  <c r="M68" i="105"/>
  <c r="U67" i="105"/>
  <c r="S67" i="105"/>
  <c r="M67" i="105"/>
  <c r="T66" i="105"/>
  <c r="R66" i="105"/>
  <c r="U65" i="105"/>
  <c r="S65" i="105"/>
  <c r="Q65" i="105"/>
  <c r="O65" i="105"/>
  <c r="M65" i="105"/>
  <c r="U64" i="105"/>
  <c r="S64" i="105"/>
  <c r="M64" i="105"/>
  <c r="T63" i="105"/>
  <c r="R63" i="105"/>
  <c r="U62" i="105"/>
  <c r="S62" i="105"/>
  <c r="M62" i="105"/>
  <c r="T61" i="105"/>
  <c r="R61" i="105"/>
  <c r="P61" i="105"/>
  <c r="N61" i="105"/>
  <c r="L61" i="105"/>
  <c r="T60" i="105"/>
  <c r="R60" i="105"/>
  <c r="N60" i="105"/>
  <c r="L60" i="105"/>
  <c r="U59" i="105"/>
  <c r="S59" i="105"/>
  <c r="M59" i="105"/>
  <c r="T58" i="105"/>
  <c r="R58" i="105"/>
  <c r="P58" i="105"/>
  <c r="N58" i="105"/>
  <c r="L58" i="105"/>
  <c r="U57" i="105"/>
  <c r="S57" i="105"/>
  <c r="M57" i="105"/>
  <c r="T56" i="105"/>
  <c r="R56" i="105"/>
  <c r="P56" i="105"/>
  <c r="N56" i="105"/>
  <c r="L56" i="105"/>
  <c r="U55" i="105"/>
  <c r="S55" i="105"/>
  <c r="M55" i="105"/>
  <c r="T54" i="105"/>
  <c r="R54" i="105"/>
  <c r="P54" i="105"/>
  <c r="N54" i="105"/>
  <c r="L54" i="105"/>
  <c r="U53" i="105"/>
  <c r="S53" i="105"/>
  <c r="M53" i="105"/>
  <c r="T52" i="105"/>
  <c r="R52" i="105"/>
  <c r="P52" i="105"/>
  <c r="N52" i="105"/>
  <c r="L52" i="105"/>
  <c r="U51" i="105"/>
  <c r="S51" i="105"/>
  <c r="M51" i="105"/>
  <c r="T50" i="105"/>
  <c r="R50" i="105"/>
  <c r="P50" i="105"/>
  <c r="N50" i="105"/>
  <c r="L50" i="105"/>
  <c r="U49" i="105"/>
  <c r="S49" i="105"/>
  <c r="M49" i="105"/>
  <c r="T48" i="105"/>
  <c r="R48" i="105"/>
  <c r="P48" i="105"/>
  <c r="N48" i="105"/>
  <c r="L48" i="105"/>
  <c r="U47" i="105"/>
  <c r="S47" i="105"/>
  <c r="M47" i="105"/>
  <c r="T46" i="105"/>
  <c r="R46" i="105"/>
  <c r="P46" i="105"/>
  <c r="N46" i="105"/>
  <c r="L46" i="105"/>
  <c r="U45" i="105"/>
  <c r="S45" i="105"/>
  <c r="M45" i="105"/>
  <c r="T44" i="105"/>
  <c r="R44" i="105"/>
  <c r="P44" i="105"/>
  <c r="N44" i="105"/>
  <c r="L44" i="105"/>
  <c r="U43" i="105"/>
  <c r="S43" i="105"/>
  <c r="M43" i="105"/>
  <c r="T42" i="105"/>
  <c r="R42" i="105"/>
  <c r="U72" i="105"/>
  <c r="S72" i="105"/>
  <c r="Q72" i="105"/>
  <c r="O72" i="105"/>
  <c r="M72" i="105"/>
  <c r="U71" i="105"/>
  <c r="S71" i="105"/>
  <c r="M71" i="105"/>
  <c r="T70" i="105"/>
  <c r="R70" i="105"/>
  <c r="P70" i="105"/>
  <c r="N70" i="105"/>
  <c r="L70" i="105"/>
  <c r="T69" i="105"/>
  <c r="R69" i="105"/>
  <c r="P69" i="105"/>
  <c r="N69" i="105"/>
  <c r="L69" i="105"/>
  <c r="T68" i="105"/>
  <c r="R68" i="105"/>
  <c r="P68" i="105"/>
  <c r="N68" i="105"/>
  <c r="L68" i="105"/>
  <c r="T67" i="105"/>
  <c r="R67" i="105"/>
  <c r="U66" i="105"/>
  <c r="S66" i="105"/>
  <c r="M66" i="105"/>
  <c r="T65" i="105"/>
  <c r="R65" i="105"/>
  <c r="P65" i="105"/>
  <c r="N65" i="105"/>
  <c r="L65" i="105"/>
  <c r="T64" i="105"/>
  <c r="R64" i="105"/>
  <c r="U63" i="105"/>
  <c r="S63" i="105"/>
  <c r="M63" i="105"/>
  <c r="T62" i="105"/>
  <c r="R62" i="105"/>
  <c r="U61" i="105"/>
  <c r="S61" i="105"/>
  <c r="Q61" i="105"/>
  <c r="O61" i="105"/>
  <c r="M61" i="105"/>
  <c r="U60" i="105"/>
  <c r="S60" i="105"/>
  <c r="M60" i="105"/>
  <c r="T59" i="105"/>
  <c r="R59" i="105"/>
  <c r="U58" i="105"/>
  <c r="S58" i="105"/>
  <c r="M58" i="105"/>
  <c r="T57" i="105"/>
  <c r="R57" i="105"/>
  <c r="U56" i="105"/>
  <c r="S56" i="105"/>
  <c r="M56" i="105"/>
  <c r="T55" i="105"/>
  <c r="R55" i="105"/>
  <c r="U54" i="105"/>
  <c r="S54" i="105"/>
  <c r="M54" i="105"/>
  <c r="T53" i="105"/>
  <c r="R53" i="105"/>
  <c r="U52" i="105"/>
  <c r="S52" i="105"/>
  <c r="M52" i="105"/>
  <c r="T51" i="105"/>
  <c r="R51" i="105"/>
  <c r="U50" i="105"/>
  <c r="S50" i="105"/>
  <c r="M50" i="105"/>
  <c r="T49" i="105"/>
  <c r="R49" i="105"/>
  <c r="U48" i="105"/>
  <c r="S48" i="105"/>
  <c r="M48" i="105"/>
  <c r="T47" i="105"/>
  <c r="R47" i="105"/>
  <c r="U46" i="105"/>
  <c r="S46" i="105"/>
  <c r="M46" i="105"/>
  <c r="T45" i="105"/>
  <c r="R45" i="105"/>
  <c r="U44" i="105"/>
  <c r="S44" i="105"/>
  <c r="M44" i="105"/>
  <c r="T43" i="105"/>
  <c r="R43" i="105"/>
  <c r="Q42" i="105"/>
  <c r="O42" i="105"/>
  <c r="P41" i="105"/>
  <c r="N41" i="105"/>
  <c r="L41" i="105"/>
  <c r="T41" i="105"/>
  <c r="R41" i="105"/>
  <c r="O4" i="105"/>
  <c r="S4" i="105"/>
  <c r="M5" i="105"/>
  <c r="Q5" i="105"/>
  <c r="S5" i="105"/>
  <c r="M6" i="105"/>
  <c r="Q6" i="105"/>
  <c r="U6" i="105"/>
  <c r="O7" i="105"/>
  <c r="S7" i="105"/>
  <c r="O8" i="105"/>
  <c r="S8" i="105"/>
  <c r="M9" i="105"/>
  <c r="Q9" i="105"/>
  <c r="U9" i="105"/>
  <c r="O10" i="105"/>
  <c r="S10" i="105"/>
  <c r="M11" i="105"/>
  <c r="Q11" i="105"/>
  <c r="U11" i="105"/>
  <c r="O12" i="105"/>
  <c r="S12" i="105"/>
  <c r="M13" i="105"/>
  <c r="Q13" i="105"/>
  <c r="U13" i="105"/>
  <c r="O14" i="105"/>
  <c r="M15" i="105"/>
  <c r="L4" i="105"/>
  <c r="N4" i="105"/>
  <c r="P4" i="105"/>
  <c r="R4" i="105"/>
  <c r="T4" i="105"/>
  <c r="L5" i="105"/>
  <c r="N5" i="105"/>
  <c r="P5" i="105"/>
  <c r="R5" i="105"/>
  <c r="T5" i="105"/>
  <c r="L6" i="105"/>
  <c r="N6" i="105"/>
  <c r="P6" i="105"/>
  <c r="R6" i="105"/>
  <c r="T6" i="105"/>
  <c r="L7" i="105"/>
  <c r="N7" i="105"/>
  <c r="P7" i="105"/>
  <c r="R7" i="105"/>
  <c r="T7" i="105"/>
  <c r="L8" i="105"/>
  <c r="N8" i="105"/>
  <c r="P8" i="105"/>
  <c r="R8" i="105"/>
  <c r="T8" i="105"/>
  <c r="L9" i="105"/>
  <c r="N9" i="105"/>
  <c r="P9" i="105"/>
  <c r="R9" i="105"/>
  <c r="T9" i="105"/>
  <c r="L10" i="105"/>
  <c r="N10" i="105"/>
  <c r="P10" i="105"/>
  <c r="R10" i="105"/>
  <c r="T10" i="105"/>
  <c r="L11" i="105"/>
  <c r="N11" i="105"/>
  <c r="P11" i="105"/>
  <c r="R11" i="105"/>
  <c r="T11" i="105"/>
  <c r="L12" i="105"/>
  <c r="N12" i="105"/>
  <c r="P12" i="105"/>
  <c r="R12" i="105"/>
  <c r="T12" i="105"/>
  <c r="L13" i="105"/>
  <c r="N13" i="105"/>
  <c r="P13" i="105"/>
  <c r="R13" i="105"/>
  <c r="T13" i="105"/>
  <c r="L14" i="105"/>
  <c r="N14" i="105"/>
  <c r="P14" i="105"/>
  <c r="R14" i="105"/>
  <c r="T14" i="105"/>
  <c r="L15" i="105"/>
  <c r="N15" i="105"/>
  <c r="P15" i="105"/>
  <c r="R15" i="105"/>
  <c r="T15" i="105"/>
  <c r="L16" i="105"/>
  <c r="N16" i="105"/>
  <c r="P16" i="105"/>
  <c r="R16" i="105"/>
  <c r="T16" i="105"/>
  <c r="L17" i="105"/>
  <c r="N17" i="105"/>
  <c r="P17" i="105"/>
  <c r="R17" i="105"/>
  <c r="T17" i="105"/>
  <c r="L18" i="105"/>
  <c r="N18" i="105"/>
  <c r="P18" i="105"/>
  <c r="R18" i="105"/>
  <c r="T18" i="105"/>
  <c r="L19" i="105"/>
  <c r="N19" i="105"/>
  <c r="P19" i="105"/>
  <c r="R19" i="105"/>
  <c r="T19" i="105"/>
  <c r="L20" i="105"/>
  <c r="N20" i="105"/>
  <c r="P20" i="105"/>
  <c r="R20" i="105"/>
  <c r="T20" i="105"/>
  <c r="L21" i="105"/>
  <c r="N21" i="105"/>
  <c r="P21" i="105"/>
  <c r="R21" i="105"/>
  <c r="T21" i="105"/>
  <c r="L22" i="105"/>
  <c r="N22" i="105"/>
  <c r="P22" i="105"/>
  <c r="R22" i="105"/>
  <c r="T22" i="105"/>
  <c r="L23" i="105"/>
  <c r="N23" i="105"/>
  <c r="P23" i="105"/>
  <c r="R23" i="105"/>
  <c r="T23" i="105"/>
  <c r="L24" i="105"/>
  <c r="N24" i="105"/>
  <c r="P24" i="105"/>
  <c r="R24" i="105"/>
  <c r="T24" i="105"/>
  <c r="L25" i="105"/>
  <c r="N25" i="105"/>
  <c r="P25" i="105"/>
  <c r="R25" i="105"/>
  <c r="T25" i="105"/>
  <c r="L26" i="105"/>
  <c r="N26" i="105"/>
  <c r="P26" i="105"/>
  <c r="R26" i="105"/>
  <c r="T26" i="105"/>
  <c r="L27" i="105"/>
  <c r="N27" i="105"/>
  <c r="P27" i="105"/>
  <c r="R27" i="105"/>
  <c r="T27" i="105"/>
  <c r="L28" i="105"/>
  <c r="N28" i="105"/>
  <c r="P28" i="105"/>
  <c r="R28" i="105"/>
  <c r="T28" i="105"/>
  <c r="M29" i="105"/>
  <c r="O29" i="105"/>
  <c r="S29" i="105"/>
  <c r="U29" i="105"/>
  <c r="L30" i="105"/>
  <c r="N30" i="105"/>
  <c r="P30" i="105"/>
  <c r="R30" i="105"/>
  <c r="T30" i="105"/>
  <c r="M31" i="105"/>
  <c r="O31" i="105"/>
  <c r="S31" i="105"/>
  <c r="U31" i="105"/>
  <c r="L32" i="105"/>
  <c r="N32" i="105"/>
  <c r="P32" i="105"/>
  <c r="R32" i="105"/>
  <c r="T32" i="105"/>
  <c r="M33" i="105"/>
  <c r="O33" i="105"/>
  <c r="S33" i="105"/>
  <c r="U33" i="105"/>
  <c r="L34" i="105"/>
  <c r="N34" i="105"/>
  <c r="P34" i="105"/>
  <c r="R34" i="105"/>
  <c r="T34" i="105"/>
  <c r="M35" i="105"/>
  <c r="O35" i="105"/>
  <c r="Q35" i="105"/>
  <c r="S35" i="105"/>
  <c r="M36" i="105"/>
  <c r="O36" i="105"/>
  <c r="Q36" i="105"/>
  <c r="S36" i="105"/>
  <c r="L37" i="105"/>
  <c r="N37" i="105"/>
  <c r="R37" i="105"/>
  <c r="T37" i="105"/>
  <c r="C38" i="105"/>
  <c r="M38" i="105" s="1"/>
  <c r="L39" i="105"/>
  <c r="N39" i="105"/>
  <c r="R39" i="105"/>
  <c r="T39" i="105"/>
  <c r="U40" i="105"/>
  <c r="M40" i="105"/>
  <c r="O40" i="105"/>
  <c r="Q40" i="105"/>
  <c r="S40" i="105"/>
  <c r="O41" i="105"/>
  <c r="S41" i="105"/>
  <c r="U42" i="105"/>
  <c r="N42" i="105"/>
  <c r="Q43" i="105"/>
  <c r="Q45" i="105"/>
  <c r="Q47" i="105"/>
  <c r="Q49" i="105"/>
  <c r="Q51" i="105"/>
  <c r="Q53" i="105"/>
  <c r="Q55" i="105"/>
  <c r="Q57" i="105"/>
  <c r="Q59" i="105"/>
  <c r="Q62" i="105"/>
  <c r="Q64" i="105"/>
  <c r="Q67" i="105"/>
  <c r="M4" i="105"/>
  <c r="Q4" i="105"/>
  <c r="U4" i="105"/>
  <c r="O5" i="105"/>
  <c r="U5" i="105"/>
  <c r="O6" i="105"/>
  <c r="S6" i="105"/>
  <c r="M7" i="105"/>
  <c r="Q7" i="105"/>
  <c r="U7" i="105"/>
  <c r="M8" i="105"/>
  <c r="Q8" i="105"/>
  <c r="U8" i="105"/>
  <c r="O9" i="105"/>
  <c r="S9" i="105"/>
  <c r="M10" i="105"/>
  <c r="Q10" i="105"/>
  <c r="U10" i="105"/>
  <c r="O11" i="105"/>
  <c r="S11" i="105"/>
  <c r="M12" i="105"/>
  <c r="Q12" i="105"/>
  <c r="U12" i="105"/>
  <c r="O13" i="105"/>
  <c r="S13" i="105"/>
  <c r="M14" i="105"/>
  <c r="Q14" i="105"/>
  <c r="S14" i="105"/>
  <c r="U14" i="105"/>
  <c r="O15" i="105"/>
  <c r="Q15" i="105"/>
  <c r="S15" i="105"/>
  <c r="U15" i="105"/>
  <c r="M16" i="105"/>
  <c r="O16" i="105"/>
  <c r="Q16" i="105"/>
  <c r="S16" i="105"/>
  <c r="U16" i="105"/>
  <c r="M17" i="105"/>
  <c r="O17" i="105"/>
  <c r="Q17" i="105"/>
  <c r="S17" i="105"/>
  <c r="U17" i="105"/>
  <c r="M18" i="105"/>
  <c r="O18" i="105"/>
  <c r="Q18" i="105"/>
  <c r="S18" i="105"/>
  <c r="U18" i="105"/>
  <c r="M19" i="105"/>
  <c r="O19" i="105"/>
  <c r="Q19" i="105"/>
  <c r="S19" i="105"/>
  <c r="U19" i="105"/>
  <c r="M20" i="105"/>
  <c r="O20" i="105"/>
  <c r="Q20" i="105"/>
  <c r="S20" i="105"/>
  <c r="U20" i="105"/>
  <c r="M21" i="105"/>
  <c r="O21" i="105"/>
  <c r="Q21" i="105"/>
  <c r="S21" i="105"/>
  <c r="U21" i="105"/>
  <c r="M22" i="105"/>
  <c r="O22" i="105"/>
  <c r="Q22" i="105"/>
  <c r="S22" i="105"/>
  <c r="U22" i="105"/>
  <c r="M23" i="105"/>
  <c r="O23" i="105"/>
  <c r="Q23" i="105"/>
  <c r="S23" i="105"/>
  <c r="U23" i="105"/>
  <c r="M24" i="105"/>
  <c r="O24" i="105"/>
  <c r="Q24" i="105"/>
  <c r="S24" i="105"/>
  <c r="U24" i="105"/>
  <c r="M25" i="105"/>
  <c r="O25" i="105"/>
  <c r="Q25" i="105"/>
  <c r="S25" i="105"/>
  <c r="U25" i="105"/>
  <c r="M26" i="105"/>
  <c r="O26" i="105"/>
  <c r="Q26" i="105"/>
  <c r="S26" i="105"/>
  <c r="U26" i="105"/>
  <c r="M27" i="105"/>
  <c r="O27" i="105"/>
  <c r="Q27" i="105"/>
  <c r="S27" i="105"/>
  <c r="U27" i="105"/>
  <c r="M28" i="105"/>
  <c r="O28" i="105"/>
  <c r="Q28" i="105"/>
  <c r="S28" i="105"/>
  <c r="U28" i="105"/>
  <c r="L29" i="105"/>
  <c r="N29" i="105"/>
  <c r="P29" i="105"/>
  <c r="R29" i="105"/>
  <c r="T29" i="105"/>
  <c r="M30" i="105"/>
  <c r="O30" i="105"/>
  <c r="S30" i="105"/>
  <c r="U30" i="105"/>
  <c r="L31" i="105"/>
  <c r="N31" i="105"/>
  <c r="P31" i="105"/>
  <c r="R31" i="105"/>
  <c r="T31" i="105"/>
  <c r="M32" i="105"/>
  <c r="O32" i="105"/>
  <c r="S32" i="105"/>
  <c r="U32" i="105"/>
  <c r="L33" i="105"/>
  <c r="N33" i="105"/>
  <c r="P33" i="105"/>
  <c r="R33" i="105"/>
  <c r="T33" i="105"/>
  <c r="M34" i="105"/>
  <c r="O34" i="105"/>
  <c r="S34" i="105"/>
  <c r="U34" i="105"/>
  <c r="L35" i="105"/>
  <c r="N35" i="105"/>
  <c r="P35" i="105"/>
  <c r="R35" i="105"/>
  <c r="T35" i="105"/>
  <c r="L36" i="105"/>
  <c r="N36" i="105"/>
  <c r="P36" i="105"/>
  <c r="R36" i="105"/>
  <c r="T36" i="105"/>
  <c r="M37" i="105"/>
  <c r="O37" i="105"/>
  <c r="S37" i="105"/>
  <c r="L38" i="105"/>
  <c r="N38" i="105"/>
  <c r="M39" i="105"/>
  <c r="S39" i="105"/>
  <c r="L40" i="105"/>
  <c r="N40" i="105"/>
  <c r="M41" i="105"/>
  <c r="Q41" i="105"/>
  <c r="U41" i="105"/>
  <c r="L42" i="105"/>
  <c r="P42" i="105"/>
  <c r="Q44" i="105"/>
  <c r="Q46" i="105"/>
  <c r="Q48" i="105"/>
  <c r="Q50" i="105"/>
  <c r="Q52" i="105"/>
  <c r="Q54" i="105"/>
  <c r="Q56" i="105"/>
  <c r="Q58" i="105"/>
  <c r="P60" i="105"/>
  <c r="P63" i="105"/>
  <c r="P66" i="105"/>
  <c r="P71" i="105"/>
  <c r="M42" i="105"/>
  <c r="S42" i="105"/>
  <c r="L43" i="105"/>
  <c r="N43" i="105"/>
  <c r="P43" i="105"/>
  <c r="O44" i="105"/>
  <c r="L45" i="105"/>
  <c r="N45" i="105"/>
  <c r="P45" i="105"/>
  <c r="O46" i="105"/>
  <c r="L47" i="105"/>
  <c r="N47" i="105"/>
  <c r="P47" i="105"/>
  <c r="O48" i="105"/>
  <c r="L49" i="105"/>
  <c r="N49" i="105"/>
  <c r="P49" i="105"/>
  <c r="O50" i="105"/>
  <c r="L51" i="105"/>
  <c r="N51" i="105"/>
  <c r="P51" i="105"/>
  <c r="O52" i="105"/>
  <c r="L53" i="105"/>
  <c r="N53" i="105"/>
  <c r="P53" i="105"/>
  <c r="O54" i="105"/>
  <c r="L55" i="105"/>
  <c r="N55" i="105"/>
  <c r="P55" i="105"/>
  <c r="O56" i="105"/>
  <c r="L57" i="105"/>
  <c r="N57" i="105"/>
  <c r="P57" i="105"/>
  <c r="O58" i="105"/>
  <c r="L59" i="105"/>
  <c r="N59" i="105"/>
  <c r="P59" i="105"/>
  <c r="O60" i="105"/>
  <c r="Q60" i="105"/>
  <c r="L62" i="105"/>
  <c r="N62" i="105"/>
  <c r="P62" i="105"/>
  <c r="O63" i="105"/>
  <c r="Q63" i="105"/>
  <c r="L64" i="105"/>
  <c r="N64" i="105"/>
  <c r="P64" i="105"/>
  <c r="O66" i="105"/>
  <c r="Q66" i="105"/>
  <c r="L67" i="105"/>
  <c r="N67" i="105"/>
  <c r="P67" i="105"/>
  <c r="O71" i="105"/>
  <c r="Q71" i="105"/>
  <c r="O43" i="105"/>
  <c r="O45" i="105"/>
  <c r="O47" i="105"/>
  <c r="O49" i="105"/>
  <c r="O51" i="105"/>
  <c r="O53" i="105"/>
  <c r="O55" i="105"/>
  <c r="O57" i="105"/>
  <c r="O59" i="105"/>
  <c r="O62" i="105"/>
  <c r="L63" i="105"/>
  <c r="N63" i="105"/>
  <c r="O64" i="105"/>
  <c r="L66" i="105"/>
  <c r="N66" i="105"/>
  <c r="O67" i="105"/>
  <c r="L71" i="105"/>
  <c r="N71" i="105"/>
  <c r="S38" i="105" l="1"/>
  <c r="S73" i="105" s="1"/>
  <c r="O38" i="105"/>
  <c r="Q38" i="105"/>
  <c r="V63" i="105"/>
  <c r="X63" i="105" s="1"/>
  <c r="V57" i="105"/>
  <c r="X57" i="105" s="1"/>
  <c r="V53" i="105"/>
  <c r="X53" i="105" s="1"/>
  <c r="V49" i="105"/>
  <c r="X49" i="105" s="1"/>
  <c r="V45" i="105"/>
  <c r="X45" i="105" s="1"/>
  <c r="V43" i="105"/>
  <c r="X43" i="105" s="1"/>
  <c r="V42" i="105"/>
  <c r="X42" i="105" s="1"/>
  <c r="W37" i="105"/>
  <c r="Y37" i="105" s="1"/>
  <c r="W34" i="105"/>
  <c r="Y34" i="105" s="1"/>
  <c r="V31" i="105"/>
  <c r="X31" i="105" s="1"/>
  <c r="W26" i="105"/>
  <c r="Y26" i="105" s="1"/>
  <c r="V66" i="105"/>
  <c r="X66" i="105" s="1"/>
  <c r="V67" i="105"/>
  <c r="X67" i="105" s="1"/>
  <c r="V62" i="105"/>
  <c r="X62" i="105" s="1"/>
  <c r="W41" i="105"/>
  <c r="Y41" i="105" s="1"/>
  <c r="V40" i="105"/>
  <c r="X40" i="105" s="1"/>
  <c r="W39" i="105"/>
  <c r="Y39" i="105" s="1"/>
  <c r="V38" i="105"/>
  <c r="X38" i="105" s="1"/>
  <c r="V36" i="105"/>
  <c r="X36" i="105" s="1"/>
  <c r="V33" i="105"/>
  <c r="X33" i="105" s="1"/>
  <c r="W32" i="105"/>
  <c r="Y32" i="105" s="1"/>
  <c r="V29" i="105"/>
  <c r="X29" i="105" s="1"/>
  <c r="W27" i="105"/>
  <c r="Y27" i="105" s="1"/>
  <c r="W25" i="105"/>
  <c r="Y25" i="105" s="1"/>
  <c r="W23" i="105"/>
  <c r="Y23" i="105" s="1"/>
  <c r="W21" i="105"/>
  <c r="Y21" i="105" s="1"/>
  <c r="W19" i="105"/>
  <c r="Y19" i="105" s="1"/>
  <c r="W17" i="105"/>
  <c r="Y17" i="105" s="1"/>
  <c r="W12" i="105"/>
  <c r="Y12" i="105" s="1"/>
  <c r="W8" i="105"/>
  <c r="Y8" i="105" s="1"/>
  <c r="M73" i="105"/>
  <c r="W4" i="105"/>
  <c r="Y4" i="105" s="1"/>
  <c r="W40" i="105"/>
  <c r="Y40" i="105" s="1"/>
  <c r="T38" i="105"/>
  <c r="T73" i="105" s="1"/>
  <c r="R38" i="105"/>
  <c r="V37" i="105"/>
  <c r="X37" i="105" s="1"/>
  <c r="W36" i="105"/>
  <c r="Y36" i="105" s="1"/>
  <c r="W35" i="105"/>
  <c r="Y35" i="105" s="1"/>
  <c r="V32" i="105"/>
  <c r="X32" i="105" s="1"/>
  <c r="W31" i="105"/>
  <c r="Y31" i="105" s="1"/>
  <c r="V28" i="105"/>
  <c r="X28" i="105" s="1"/>
  <c r="V26" i="105"/>
  <c r="X26" i="105" s="1"/>
  <c r="V24" i="105"/>
  <c r="X24" i="105" s="1"/>
  <c r="V22" i="105"/>
  <c r="X22" i="105" s="1"/>
  <c r="V20" i="105"/>
  <c r="X20" i="105" s="1"/>
  <c r="V18" i="105"/>
  <c r="X18" i="105" s="1"/>
  <c r="V16" i="105"/>
  <c r="X16" i="105" s="1"/>
  <c r="V14" i="105"/>
  <c r="X14" i="105" s="1"/>
  <c r="V12" i="105"/>
  <c r="X12" i="105" s="1"/>
  <c r="V10" i="105"/>
  <c r="X10" i="105" s="1"/>
  <c r="V8" i="105"/>
  <c r="X8" i="105" s="1"/>
  <c r="V6" i="105"/>
  <c r="X6" i="105" s="1"/>
  <c r="L73" i="105"/>
  <c r="V4" i="105"/>
  <c r="W11" i="105"/>
  <c r="Y11" i="105" s="1"/>
  <c r="W6" i="105"/>
  <c r="Y6" i="105" s="1"/>
  <c r="V41" i="105"/>
  <c r="X41" i="105" s="1"/>
  <c r="W46" i="105"/>
  <c r="Y46" i="105" s="1"/>
  <c r="W50" i="105"/>
  <c r="Y50" i="105" s="1"/>
  <c r="W54" i="105"/>
  <c r="Y54" i="105" s="1"/>
  <c r="W58" i="105"/>
  <c r="Y58" i="105" s="1"/>
  <c r="W61" i="105"/>
  <c r="Y61" i="105" s="1"/>
  <c r="V65" i="105"/>
  <c r="X65" i="105" s="1"/>
  <c r="V68" i="105"/>
  <c r="X68" i="105" s="1"/>
  <c r="V70" i="105"/>
  <c r="X70" i="105" s="1"/>
  <c r="W72" i="105"/>
  <c r="Y72" i="105" s="1"/>
  <c r="V44" i="105"/>
  <c r="X44" i="105" s="1"/>
  <c r="V46" i="105"/>
  <c r="X46" i="105" s="1"/>
  <c r="V48" i="105"/>
  <c r="X48" i="105" s="1"/>
  <c r="V50" i="105"/>
  <c r="X50" i="105" s="1"/>
  <c r="V52" i="105"/>
  <c r="X52" i="105" s="1"/>
  <c r="V54" i="105"/>
  <c r="X54" i="105" s="1"/>
  <c r="V56" i="105"/>
  <c r="X56" i="105" s="1"/>
  <c r="V58" i="105"/>
  <c r="X58" i="105" s="1"/>
  <c r="V60" i="105"/>
  <c r="X60" i="105" s="1"/>
  <c r="V61" i="105"/>
  <c r="X61" i="105" s="1"/>
  <c r="W64" i="105"/>
  <c r="Y64" i="105" s="1"/>
  <c r="W67" i="105"/>
  <c r="Y67" i="105" s="1"/>
  <c r="W69" i="105"/>
  <c r="Y69" i="105" s="1"/>
  <c r="V72" i="105"/>
  <c r="X72" i="105" s="1"/>
  <c r="T40" i="105"/>
  <c r="R40" i="105"/>
  <c r="V71" i="105"/>
  <c r="X71" i="105" s="1"/>
  <c r="V64" i="105"/>
  <c r="X64" i="105" s="1"/>
  <c r="V59" i="105"/>
  <c r="X59" i="105" s="1"/>
  <c r="V55" i="105"/>
  <c r="X55" i="105" s="1"/>
  <c r="V51" i="105"/>
  <c r="X51" i="105" s="1"/>
  <c r="V47" i="105"/>
  <c r="X47" i="105" s="1"/>
  <c r="W42" i="105"/>
  <c r="Y42" i="105" s="1"/>
  <c r="V35" i="105"/>
  <c r="X35" i="105" s="1"/>
  <c r="W30" i="105"/>
  <c r="Y30" i="105" s="1"/>
  <c r="W28" i="105"/>
  <c r="Y28" i="105" s="1"/>
  <c r="W24" i="105"/>
  <c r="Y24" i="105" s="1"/>
  <c r="W22" i="105"/>
  <c r="Y22" i="105" s="1"/>
  <c r="W20" i="105"/>
  <c r="Y20" i="105" s="1"/>
  <c r="W18" i="105"/>
  <c r="Y18" i="105" s="1"/>
  <c r="W16" i="105"/>
  <c r="Y16" i="105" s="1"/>
  <c r="W14" i="105"/>
  <c r="Y14" i="105" s="1"/>
  <c r="W10" i="105"/>
  <c r="Y10" i="105" s="1"/>
  <c r="W7" i="105"/>
  <c r="Y7" i="105" s="1"/>
  <c r="V39" i="105"/>
  <c r="X39" i="105" s="1"/>
  <c r="W38" i="105"/>
  <c r="Y38" i="105" s="1"/>
  <c r="V34" i="105"/>
  <c r="X34" i="105" s="1"/>
  <c r="W33" i="105"/>
  <c r="Y33" i="105" s="1"/>
  <c r="V30" i="105"/>
  <c r="X30" i="105" s="1"/>
  <c r="W29" i="105"/>
  <c r="Y29" i="105" s="1"/>
  <c r="V27" i="105"/>
  <c r="X27" i="105" s="1"/>
  <c r="V25" i="105"/>
  <c r="X25" i="105" s="1"/>
  <c r="V23" i="105"/>
  <c r="X23" i="105" s="1"/>
  <c r="V21" i="105"/>
  <c r="X21" i="105" s="1"/>
  <c r="V19" i="105"/>
  <c r="X19" i="105" s="1"/>
  <c r="V17" i="105"/>
  <c r="X17" i="105" s="1"/>
  <c r="V15" i="105"/>
  <c r="X15" i="105" s="1"/>
  <c r="V13" i="105"/>
  <c r="X13" i="105" s="1"/>
  <c r="V11" i="105"/>
  <c r="X11" i="105" s="1"/>
  <c r="V9" i="105"/>
  <c r="X9" i="105" s="1"/>
  <c r="V7" i="105"/>
  <c r="X7" i="105" s="1"/>
  <c r="V5" i="105"/>
  <c r="X5" i="105" s="1"/>
  <c r="W15" i="105"/>
  <c r="Y15" i="105" s="1"/>
  <c r="W13" i="105"/>
  <c r="Y13" i="105" s="1"/>
  <c r="W9" i="105"/>
  <c r="Y9" i="105" s="1"/>
  <c r="W5" i="105"/>
  <c r="Y5" i="105" s="1"/>
  <c r="W44" i="105"/>
  <c r="Y44" i="105" s="1"/>
  <c r="W48" i="105"/>
  <c r="Y48" i="105" s="1"/>
  <c r="W52" i="105"/>
  <c r="Y52" i="105" s="1"/>
  <c r="W56" i="105"/>
  <c r="Y56" i="105" s="1"/>
  <c r="W60" i="105"/>
  <c r="Y60" i="105" s="1"/>
  <c r="W63" i="105"/>
  <c r="Y63" i="105" s="1"/>
  <c r="W66" i="105"/>
  <c r="Y66" i="105" s="1"/>
  <c r="V69" i="105"/>
  <c r="X69" i="105" s="1"/>
  <c r="W71" i="105"/>
  <c r="Y71" i="105" s="1"/>
  <c r="W43" i="105"/>
  <c r="Y43" i="105" s="1"/>
  <c r="W45" i="105"/>
  <c r="Y45" i="105" s="1"/>
  <c r="W47" i="105"/>
  <c r="Y47" i="105" s="1"/>
  <c r="W49" i="105"/>
  <c r="Y49" i="105" s="1"/>
  <c r="W51" i="105"/>
  <c r="Y51" i="105" s="1"/>
  <c r="W53" i="105"/>
  <c r="Y53" i="105" s="1"/>
  <c r="W55" i="105"/>
  <c r="Y55" i="105" s="1"/>
  <c r="W57" i="105"/>
  <c r="Y57" i="105" s="1"/>
  <c r="W59" i="105"/>
  <c r="Y59" i="105" s="1"/>
  <c r="W62" i="105"/>
  <c r="Y62" i="105" s="1"/>
  <c r="W65" i="105"/>
  <c r="Y65" i="105" s="1"/>
  <c r="W68" i="105"/>
  <c r="Y68" i="105" s="1"/>
  <c r="W70" i="105"/>
  <c r="Y70" i="105" s="1"/>
  <c r="Q73" i="105"/>
  <c r="N73" i="105"/>
  <c r="O73" i="105"/>
  <c r="P38" i="105"/>
  <c r="P73" i="105" s="1"/>
  <c r="U38" i="105"/>
  <c r="U73" i="105" s="1"/>
  <c r="R73" i="105" l="1"/>
  <c r="D184" i="105"/>
  <c r="V73" i="105"/>
  <c r="Y73" i="105"/>
  <c r="X4" i="105"/>
  <c r="X73" i="105" s="1"/>
  <c r="W73" i="105"/>
  <c r="D183" i="105"/>
  <c r="B193" i="104" l="1"/>
  <c r="A2" i="104"/>
  <c r="P16" i="104" s="1"/>
  <c r="M4" i="104" l="1"/>
  <c r="U4" i="104"/>
  <c r="P5" i="104"/>
  <c r="T5" i="104"/>
  <c r="M6" i="104"/>
  <c r="U6" i="104"/>
  <c r="P7" i="104"/>
  <c r="T7" i="104"/>
  <c r="S8" i="104"/>
  <c r="Q9" i="104"/>
  <c r="U9" i="104"/>
  <c r="S10" i="104"/>
  <c r="M11" i="104"/>
  <c r="U11" i="104"/>
  <c r="O12" i="104"/>
  <c r="S12" i="104"/>
  <c r="T14" i="104"/>
  <c r="R15" i="104"/>
  <c r="P4" i="104"/>
  <c r="S4" i="104"/>
  <c r="Q5" i="104"/>
  <c r="N5" i="104"/>
  <c r="R5" i="104"/>
  <c r="P6" i="104"/>
  <c r="S6" i="104"/>
  <c r="Q7" i="104"/>
  <c r="N7" i="104"/>
  <c r="R7" i="104"/>
  <c r="M8" i="104"/>
  <c r="W8" i="104" s="1"/>
  <c r="Y8" i="104" s="1"/>
  <c r="U8" i="104"/>
  <c r="O9" i="104"/>
  <c r="S9" i="104"/>
  <c r="M10" i="104"/>
  <c r="W10" i="104" s="1"/>
  <c r="Y10" i="104" s="1"/>
  <c r="Q10" i="104"/>
  <c r="U10" i="104"/>
  <c r="O11" i="104"/>
  <c r="S11" i="104"/>
  <c r="M12" i="104"/>
  <c r="W12" i="104" s="1"/>
  <c r="Y12" i="104" s="1"/>
  <c r="Q12" i="104"/>
  <c r="U12" i="104"/>
  <c r="R14" i="104"/>
  <c r="U15" i="104"/>
  <c r="T15" i="104"/>
  <c r="O16" i="104"/>
  <c r="L5" i="104"/>
  <c r="V5" i="104" s="1"/>
  <c r="X5" i="104" s="1"/>
  <c r="L7" i="104"/>
  <c r="V7" i="104" s="1"/>
  <c r="X7" i="104" s="1"/>
  <c r="M9" i="104"/>
  <c r="O10" i="104"/>
  <c r="Q11" i="104"/>
  <c r="T13" i="104"/>
  <c r="T16" i="104"/>
  <c r="Q16" i="104"/>
  <c r="O6" i="104"/>
  <c r="Q6" i="104"/>
  <c r="W6" i="104"/>
  <c r="Y6" i="104" s="1"/>
  <c r="U13" i="104"/>
  <c r="M16" i="104"/>
  <c r="S16" i="104"/>
  <c r="U16" i="104"/>
  <c r="O4" i="104"/>
  <c r="Q4" i="104"/>
  <c r="W4" i="104"/>
  <c r="Y4" i="104" s="1"/>
  <c r="W9" i="104"/>
  <c r="Y9" i="104" s="1"/>
  <c r="W11" i="104"/>
  <c r="Y11" i="104" s="1"/>
  <c r="M13" i="104"/>
  <c r="S13" i="104"/>
  <c r="L4" i="104"/>
  <c r="N4" i="104"/>
  <c r="R4" i="104"/>
  <c r="T4" i="104"/>
  <c r="M5" i="104"/>
  <c r="O5" i="104"/>
  <c r="S5" i="104"/>
  <c r="U5" i="104"/>
  <c r="L6" i="104"/>
  <c r="N6" i="104"/>
  <c r="R6" i="104"/>
  <c r="T6" i="104"/>
  <c r="M7" i="104"/>
  <c r="O7" i="104"/>
  <c r="S7" i="104"/>
  <c r="U7" i="104"/>
  <c r="R8" i="104"/>
  <c r="T8" i="104"/>
  <c r="L9" i="104"/>
  <c r="N9" i="104"/>
  <c r="P9" i="104"/>
  <c r="R9" i="104"/>
  <c r="T9" i="104"/>
  <c r="L10" i="104"/>
  <c r="N10" i="104"/>
  <c r="P10" i="104"/>
  <c r="R10" i="104"/>
  <c r="T10" i="104"/>
  <c r="L11" i="104"/>
  <c r="N11" i="104"/>
  <c r="P11" i="104"/>
  <c r="R11" i="104"/>
  <c r="T11" i="104"/>
  <c r="L12" i="104"/>
  <c r="N12" i="104"/>
  <c r="P12" i="104"/>
  <c r="R12" i="104"/>
  <c r="T12" i="104"/>
  <c r="R13" i="104"/>
  <c r="M14" i="104"/>
  <c r="S14" i="104"/>
  <c r="U14" i="104"/>
  <c r="M15" i="104"/>
  <c r="S15" i="104"/>
  <c r="L16" i="104"/>
  <c r="N16" i="104"/>
  <c r="R16" i="104"/>
  <c r="U17" i="104" l="1"/>
  <c r="S17" i="104"/>
  <c r="X16" i="104"/>
  <c r="V16" i="104"/>
  <c r="V11" i="104"/>
  <c r="X11" i="104" s="1"/>
  <c r="X9" i="104"/>
  <c r="V9" i="104"/>
  <c r="V6" i="104"/>
  <c r="X6" i="104" s="1"/>
  <c r="Y5" i="104"/>
  <c r="W5" i="104"/>
  <c r="V4" i="104"/>
  <c r="W14" i="104"/>
  <c r="Y14" i="104" s="1"/>
  <c r="V12" i="104"/>
  <c r="X12" i="104" s="1"/>
  <c r="V10" i="104"/>
  <c r="X10" i="104" s="1"/>
  <c r="P8" i="104"/>
  <c r="N8" i="104"/>
  <c r="L8" i="104"/>
  <c r="Q8" i="104"/>
  <c r="O8" i="104"/>
  <c r="T17" i="104"/>
  <c r="M17" i="104"/>
  <c r="W15" i="104"/>
  <c r="Y15" i="104" s="1"/>
  <c r="W7" i="104"/>
  <c r="Y7" i="104" s="1"/>
  <c r="W13" i="104"/>
  <c r="Y13" i="104" s="1"/>
  <c r="W16" i="104"/>
  <c r="Y16" i="104" s="1"/>
  <c r="R17" i="104"/>
  <c r="W17" i="104" l="1"/>
  <c r="Y17" i="104"/>
  <c r="D194" i="104"/>
  <c r="Q15" i="104"/>
  <c r="O15" i="104"/>
  <c r="L15" i="104"/>
  <c r="P15" i="104"/>
  <c r="N15" i="104"/>
  <c r="P13" i="104"/>
  <c r="N13" i="104"/>
  <c r="L13" i="104"/>
  <c r="O13" i="104"/>
  <c r="Q13" i="104"/>
  <c r="V8" i="104"/>
  <c r="X8" i="104" s="1"/>
  <c r="Q14" i="104"/>
  <c r="O14" i="104"/>
  <c r="N14" i="104"/>
  <c r="P14" i="104"/>
  <c r="L14" i="104"/>
  <c r="X4" i="104"/>
  <c r="O17" i="104" l="1"/>
  <c r="Q17" i="104"/>
  <c r="P17" i="104"/>
  <c r="V13" i="104"/>
  <c r="L17" i="104"/>
  <c r="V14" i="104"/>
  <c r="X14" i="104" s="1"/>
  <c r="V15" i="104"/>
  <c r="X15" i="104" s="1"/>
  <c r="N17" i="104"/>
  <c r="V17" i="104" l="1"/>
  <c r="D193" i="104"/>
  <c r="X13" i="104"/>
  <c r="X17" i="104" s="1"/>
  <c r="B192" i="103" l="1"/>
  <c r="A2" i="103"/>
  <c r="T33" i="103" s="1"/>
  <c r="U18" i="103" l="1"/>
  <c r="Q11" i="103"/>
  <c r="Q13" i="103"/>
  <c r="Q16" i="103"/>
  <c r="U17" i="103"/>
  <c r="U5" i="103"/>
  <c r="Q12" i="103"/>
  <c r="Q14" i="103"/>
  <c r="P17" i="103"/>
  <c r="P18" i="103"/>
  <c r="U27" i="103"/>
  <c r="L4" i="103"/>
  <c r="N4" i="103"/>
  <c r="P4" i="103"/>
  <c r="R4" i="103"/>
  <c r="T4" i="103"/>
  <c r="M5" i="103"/>
  <c r="O5" i="103"/>
  <c r="Q5" i="103"/>
  <c r="S5" i="103"/>
  <c r="M6" i="103"/>
  <c r="O6" i="103"/>
  <c r="Q6" i="103"/>
  <c r="S6" i="103"/>
  <c r="U6" i="103"/>
  <c r="M7" i="103"/>
  <c r="O7" i="103"/>
  <c r="Q7" i="103"/>
  <c r="S7" i="103"/>
  <c r="U7" i="103"/>
  <c r="M8" i="103"/>
  <c r="O8" i="103"/>
  <c r="Q8" i="103"/>
  <c r="S8" i="103"/>
  <c r="U8" i="103"/>
  <c r="M9" i="103"/>
  <c r="O9" i="103"/>
  <c r="Q9" i="103"/>
  <c r="S9" i="103"/>
  <c r="U9" i="103"/>
  <c r="M10" i="103"/>
  <c r="O10" i="103"/>
  <c r="Q10" i="103"/>
  <c r="S10" i="103"/>
  <c r="U10" i="103"/>
  <c r="L11" i="103"/>
  <c r="N11" i="103"/>
  <c r="P11" i="103"/>
  <c r="R11" i="103"/>
  <c r="T11" i="103"/>
  <c r="M12" i="103"/>
  <c r="O12" i="103"/>
  <c r="S12" i="103"/>
  <c r="U12" i="103"/>
  <c r="L13" i="103"/>
  <c r="N13" i="103"/>
  <c r="P13" i="103"/>
  <c r="R13" i="103"/>
  <c r="T13" i="103"/>
  <c r="M14" i="103"/>
  <c r="O14" i="103"/>
  <c r="S14" i="103"/>
  <c r="U14" i="103"/>
  <c r="M15" i="103"/>
  <c r="O15" i="103"/>
  <c r="Q15" i="103"/>
  <c r="S15" i="103"/>
  <c r="U15" i="103"/>
  <c r="L16" i="103"/>
  <c r="N16" i="103"/>
  <c r="P16" i="103"/>
  <c r="R16" i="103"/>
  <c r="T16" i="103"/>
  <c r="L17" i="103"/>
  <c r="N17" i="103"/>
  <c r="R17" i="103"/>
  <c r="T17" i="103"/>
  <c r="L18" i="103"/>
  <c r="N18" i="103"/>
  <c r="R18" i="103"/>
  <c r="T18" i="103"/>
  <c r="L19" i="103"/>
  <c r="N19" i="103"/>
  <c r="P19" i="103"/>
  <c r="R19" i="103"/>
  <c r="T19" i="103"/>
  <c r="L20" i="103"/>
  <c r="N20" i="103"/>
  <c r="P20" i="103"/>
  <c r="R20" i="103"/>
  <c r="T20" i="103"/>
  <c r="L21" i="103"/>
  <c r="N21" i="103"/>
  <c r="P21" i="103"/>
  <c r="R21" i="103"/>
  <c r="T21" i="103"/>
  <c r="L22" i="103"/>
  <c r="N22" i="103"/>
  <c r="P22" i="103"/>
  <c r="R22" i="103"/>
  <c r="T22" i="103"/>
  <c r="L23" i="103"/>
  <c r="N23" i="103"/>
  <c r="P23" i="103"/>
  <c r="R23" i="103"/>
  <c r="T23" i="103"/>
  <c r="L24" i="103"/>
  <c r="N24" i="103"/>
  <c r="P24" i="103"/>
  <c r="R24" i="103"/>
  <c r="T24" i="103"/>
  <c r="L25" i="103"/>
  <c r="N25" i="103"/>
  <c r="P25" i="103"/>
  <c r="R25" i="103"/>
  <c r="T25" i="103"/>
  <c r="L26" i="103"/>
  <c r="N26" i="103"/>
  <c r="P26" i="103"/>
  <c r="R26" i="103"/>
  <c r="T26" i="103"/>
  <c r="M27" i="103"/>
  <c r="O27" i="103"/>
  <c r="Q27" i="103"/>
  <c r="S27" i="103"/>
  <c r="M28" i="103"/>
  <c r="O28" i="103"/>
  <c r="Q28" i="103"/>
  <c r="S28" i="103"/>
  <c r="U28" i="103"/>
  <c r="M29" i="103"/>
  <c r="O29" i="103"/>
  <c r="Q29" i="103"/>
  <c r="S29" i="103"/>
  <c r="U29" i="103"/>
  <c r="M30" i="103"/>
  <c r="O30" i="103"/>
  <c r="Q30" i="103"/>
  <c r="S30" i="103"/>
  <c r="U30" i="103"/>
  <c r="O31" i="103"/>
  <c r="Q31" i="103"/>
  <c r="S31" i="103"/>
  <c r="U31" i="103"/>
  <c r="M32" i="103"/>
  <c r="O32" i="103"/>
  <c r="Q32" i="103"/>
  <c r="S32" i="103"/>
  <c r="U32" i="103"/>
  <c r="M33" i="103"/>
  <c r="O33" i="103"/>
  <c r="Q33" i="103"/>
  <c r="S33" i="103"/>
  <c r="U33" i="103"/>
  <c r="M4" i="103"/>
  <c r="O4" i="103"/>
  <c r="Q4" i="103"/>
  <c r="S4" i="103"/>
  <c r="U4" i="103"/>
  <c r="L5" i="103"/>
  <c r="N5" i="103"/>
  <c r="P5" i="103"/>
  <c r="R5" i="103"/>
  <c r="T5" i="103"/>
  <c r="L6" i="103"/>
  <c r="N6" i="103"/>
  <c r="P6" i="103"/>
  <c r="R6" i="103"/>
  <c r="T6" i="103"/>
  <c r="L7" i="103"/>
  <c r="N7" i="103"/>
  <c r="P7" i="103"/>
  <c r="R7" i="103"/>
  <c r="T7" i="103"/>
  <c r="L8" i="103"/>
  <c r="N8" i="103"/>
  <c r="P8" i="103"/>
  <c r="R8" i="103"/>
  <c r="T8" i="103"/>
  <c r="L9" i="103"/>
  <c r="N9" i="103"/>
  <c r="P9" i="103"/>
  <c r="R9" i="103"/>
  <c r="T9" i="103"/>
  <c r="L10" i="103"/>
  <c r="N10" i="103"/>
  <c r="P10" i="103"/>
  <c r="R10" i="103"/>
  <c r="T10" i="103"/>
  <c r="M11" i="103"/>
  <c r="O11" i="103"/>
  <c r="S11" i="103"/>
  <c r="U11" i="103"/>
  <c r="L12" i="103"/>
  <c r="N12" i="103"/>
  <c r="P12" i="103"/>
  <c r="R12" i="103"/>
  <c r="T12" i="103"/>
  <c r="M13" i="103"/>
  <c r="O13" i="103"/>
  <c r="S13" i="103"/>
  <c r="U13" i="103"/>
  <c r="L14" i="103"/>
  <c r="N14" i="103"/>
  <c r="P14" i="103"/>
  <c r="R14" i="103"/>
  <c r="T14" i="103"/>
  <c r="L15" i="103"/>
  <c r="N15" i="103"/>
  <c r="P15" i="103"/>
  <c r="R15" i="103"/>
  <c r="T15" i="103"/>
  <c r="M16" i="103"/>
  <c r="O16" i="103"/>
  <c r="S16" i="103"/>
  <c r="U16" i="103"/>
  <c r="M17" i="103"/>
  <c r="O17" i="103"/>
  <c r="Q17" i="103"/>
  <c r="S17" i="103"/>
  <c r="M18" i="103"/>
  <c r="O18" i="103"/>
  <c r="Q18" i="103"/>
  <c r="S18" i="103"/>
  <c r="M19" i="103"/>
  <c r="O19" i="103"/>
  <c r="Q19" i="103"/>
  <c r="S19" i="103"/>
  <c r="U19" i="103"/>
  <c r="M20" i="103"/>
  <c r="O20" i="103"/>
  <c r="Q20" i="103"/>
  <c r="S20" i="103"/>
  <c r="U20" i="103"/>
  <c r="M21" i="103"/>
  <c r="O21" i="103"/>
  <c r="Q21" i="103"/>
  <c r="S21" i="103"/>
  <c r="U21" i="103"/>
  <c r="M22" i="103"/>
  <c r="O22" i="103"/>
  <c r="Q22" i="103"/>
  <c r="S22" i="103"/>
  <c r="U22" i="103"/>
  <c r="M23" i="103"/>
  <c r="O23" i="103"/>
  <c r="Q23" i="103"/>
  <c r="S23" i="103"/>
  <c r="U23" i="103"/>
  <c r="M24" i="103"/>
  <c r="O24" i="103"/>
  <c r="Q24" i="103"/>
  <c r="S24" i="103"/>
  <c r="U24" i="103"/>
  <c r="M25" i="103"/>
  <c r="O25" i="103"/>
  <c r="Q25" i="103"/>
  <c r="S25" i="103"/>
  <c r="U25" i="103"/>
  <c r="M26" i="103"/>
  <c r="O26" i="103"/>
  <c r="Q26" i="103"/>
  <c r="S26" i="103"/>
  <c r="U26" i="103"/>
  <c r="L27" i="103"/>
  <c r="N27" i="103"/>
  <c r="P27" i="103"/>
  <c r="R27" i="103"/>
  <c r="T27" i="103"/>
  <c r="L28" i="103"/>
  <c r="N28" i="103"/>
  <c r="P28" i="103"/>
  <c r="R28" i="103"/>
  <c r="T28" i="103"/>
  <c r="L29" i="103"/>
  <c r="N29" i="103"/>
  <c r="P29" i="103"/>
  <c r="R29" i="103"/>
  <c r="T29" i="103"/>
  <c r="L30" i="103"/>
  <c r="N30" i="103"/>
  <c r="P30" i="103"/>
  <c r="R30" i="103"/>
  <c r="T30" i="103"/>
  <c r="N31" i="103"/>
  <c r="P31" i="103"/>
  <c r="R31" i="103"/>
  <c r="T31" i="103"/>
  <c r="L32" i="103"/>
  <c r="N32" i="103"/>
  <c r="P32" i="103"/>
  <c r="R32" i="103"/>
  <c r="T32" i="103"/>
  <c r="L33" i="103"/>
  <c r="N33" i="103"/>
  <c r="P33" i="103"/>
  <c r="R33" i="103"/>
  <c r="V31" i="103" l="1"/>
  <c r="X31" i="103" s="1"/>
  <c r="V29" i="103"/>
  <c r="X29" i="103" s="1"/>
  <c r="V27" i="103"/>
  <c r="X27" i="103" s="1"/>
  <c r="W25" i="103"/>
  <c r="Y25" i="103" s="1"/>
  <c r="W21" i="103"/>
  <c r="Y21" i="103" s="1"/>
  <c r="W18" i="103"/>
  <c r="Y18" i="103" s="1"/>
  <c r="W16" i="103"/>
  <c r="Y16" i="103" s="1"/>
  <c r="V14" i="103"/>
  <c r="X14" i="103" s="1"/>
  <c r="V10" i="103"/>
  <c r="X10" i="103" s="1"/>
  <c r="V8" i="103"/>
  <c r="X8" i="103" s="1"/>
  <c r="V6" i="103"/>
  <c r="X6" i="103" s="1"/>
  <c r="V33" i="103"/>
  <c r="X33" i="103" s="1"/>
  <c r="V32" i="103"/>
  <c r="X32" i="103" s="1"/>
  <c r="V30" i="103"/>
  <c r="X30" i="103" s="1"/>
  <c r="V28" i="103"/>
  <c r="X28" i="103" s="1"/>
  <c r="W26" i="103"/>
  <c r="Y26" i="103" s="1"/>
  <c r="W24" i="103"/>
  <c r="Y24" i="103" s="1"/>
  <c r="W22" i="103"/>
  <c r="Y22" i="103" s="1"/>
  <c r="W20" i="103"/>
  <c r="Y20" i="103" s="1"/>
  <c r="V15" i="103"/>
  <c r="X15" i="103" s="1"/>
  <c r="V12" i="103"/>
  <c r="X12" i="103" s="1"/>
  <c r="W11" i="103"/>
  <c r="Y11" i="103" s="1"/>
  <c r="V9" i="103"/>
  <c r="X9" i="103" s="1"/>
  <c r="V7" i="103"/>
  <c r="X7" i="103" s="1"/>
  <c r="V5" i="103"/>
  <c r="X5" i="103" s="1"/>
  <c r="W33" i="103"/>
  <c r="Y33" i="103" s="1"/>
  <c r="W32" i="103"/>
  <c r="Y32" i="103" s="1"/>
  <c r="W30" i="103"/>
  <c r="Y30" i="103" s="1"/>
  <c r="W28" i="103"/>
  <c r="Y28" i="103" s="1"/>
  <c r="W27" i="103"/>
  <c r="Y27" i="103" s="1"/>
  <c r="V25" i="103"/>
  <c r="X25" i="103" s="1"/>
  <c r="V23" i="103"/>
  <c r="X23" i="103" s="1"/>
  <c r="V21" i="103"/>
  <c r="X21" i="103" s="1"/>
  <c r="V19" i="103"/>
  <c r="X19" i="103" s="1"/>
  <c r="V18" i="103"/>
  <c r="X18" i="103" s="1"/>
  <c r="V17" i="103"/>
  <c r="X17" i="103" s="1"/>
  <c r="W15" i="103"/>
  <c r="Y15" i="103" s="1"/>
  <c r="W14" i="103"/>
  <c r="Y14" i="103" s="1"/>
  <c r="V11" i="103"/>
  <c r="X11" i="103" s="1"/>
  <c r="W9" i="103"/>
  <c r="Y9" i="103" s="1"/>
  <c r="W7" i="103"/>
  <c r="Y7" i="103" s="1"/>
  <c r="L34" i="103"/>
  <c r="V4" i="103"/>
  <c r="X4" i="103" s="1"/>
  <c r="U34" i="103"/>
  <c r="Q34" i="103"/>
  <c r="S34" i="103"/>
  <c r="O34" i="103"/>
  <c r="T34" i="103"/>
  <c r="P34" i="103"/>
  <c r="W23" i="103"/>
  <c r="Y23" i="103" s="1"/>
  <c r="W19" i="103"/>
  <c r="Y19" i="103" s="1"/>
  <c r="W17" i="103"/>
  <c r="Y17" i="103" s="1"/>
  <c r="W13" i="103"/>
  <c r="Y13" i="103" s="1"/>
  <c r="W4" i="103"/>
  <c r="Y4" i="103" s="1"/>
  <c r="M34" i="103"/>
  <c r="W31" i="103"/>
  <c r="Y31" i="103" s="1"/>
  <c r="W29" i="103"/>
  <c r="Y29" i="103" s="1"/>
  <c r="V26" i="103"/>
  <c r="X26" i="103" s="1"/>
  <c r="V24" i="103"/>
  <c r="X24" i="103" s="1"/>
  <c r="V22" i="103"/>
  <c r="X22" i="103" s="1"/>
  <c r="V20" i="103"/>
  <c r="X20" i="103" s="1"/>
  <c r="V16" i="103"/>
  <c r="X16" i="103" s="1"/>
  <c r="V13" i="103"/>
  <c r="X13" i="103" s="1"/>
  <c r="W12" i="103"/>
  <c r="Y12" i="103" s="1"/>
  <c r="W10" i="103"/>
  <c r="Y10" i="103" s="1"/>
  <c r="W8" i="103"/>
  <c r="Y8" i="103" s="1"/>
  <c r="W6" i="103"/>
  <c r="Y6" i="103" s="1"/>
  <c r="W5" i="103"/>
  <c r="Y5" i="103" s="1"/>
  <c r="R34" i="103"/>
  <c r="N34" i="103"/>
  <c r="X34" i="103" l="1"/>
  <c r="D193" i="103"/>
  <c r="D192" i="103"/>
  <c r="W34" i="103"/>
  <c r="Y34" i="103"/>
  <c r="V34" i="103"/>
  <c r="B184" i="102" l="1"/>
  <c r="A2" i="102"/>
  <c r="T23" i="102" s="1"/>
  <c r="M4" i="102" l="1"/>
  <c r="O4" i="102"/>
  <c r="Q4" i="102"/>
  <c r="S4" i="102"/>
  <c r="U4" i="102"/>
  <c r="M5" i="102"/>
  <c r="O5" i="102"/>
  <c r="Q5" i="102"/>
  <c r="S5" i="102"/>
  <c r="U5" i="102"/>
  <c r="M6" i="102"/>
  <c r="O6" i="102"/>
  <c r="Q6" i="102"/>
  <c r="S6" i="102"/>
  <c r="U6" i="102"/>
  <c r="M7" i="102"/>
  <c r="O7" i="102"/>
  <c r="Q7" i="102"/>
  <c r="S7" i="102"/>
  <c r="U7" i="102"/>
  <c r="M8" i="102"/>
  <c r="O8" i="102"/>
  <c r="Q8" i="102"/>
  <c r="S8" i="102"/>
  <c r="U8" i="102"/>
  <c r="M9" i="102"/>
  <c r="O9" i="102"/>
  <c r="Q9" i="102"/>
  <c r="S9" i="102"/>
  <c r="U9" i="102"/>
  <c r="M10" i="102"/>
  <c r="O10" i="102"/>
  <c r="Q10" i="102"/>
  <c r="S10" i="102"/>
  <c r="U10" i="102"/>
  <c r="M11" i="102"/>
  <c r="O11" i="102"/>
  <c r="Q11" i="102"/>
  <c r="S11" i="102"/>
  <c r="U11" i="102"/>
  <c r="M12" i="102"/>
  <c r="O12" i="102"/>
  <c r="Q12" i="102"/>
  <c r="S12" i="102"/>
  <c r="U12" i="102"/>
  <c r="M13" i="102"/>
  <c r="O13" i="102"/>
  <c r="Q13" i="102"/>
  <c r="S13" i="102"/>
  <c r="U13" i="102"/>
  <c r="M14" i="102"/>
  <c r="O14" i="102"/>
  <c r="Q14" i="102"/>
  <c r="S14" i="102"/>
  <c r="U14" i="102"/>
  <c r="M15" i="102"/>
  <c r="O15" i="102"/>
  <c r="Q15" i="102"/>
  <c r="S15" i="102"/>
  <c r="U15" i="102"/>
  <c r="M16" i="102"/>
  <c r="O16" i="102"/>
  <c r="Q16" i="102"/>
  <c r="S16" i="102"/>
  <c r="U16" i="102"/>
  <c r="M17" i="102"/>
  <c r="O17" i="102"/>
  <c r="Q17" i="102"/>
  <c r="S17" i="102"/>
  <c r="U17" i="102"/>
  <c r="M18" i="102"/>
  <c r="O18" i="102"/>
  <c r="Q18" i="102"/>
  <c r="S18" i="102"/>
  <c r="U18" i="102"/>
  <c r="M19" i="102"/>
  <c r="O19" i="102"/>
  <c r="Q19" i="102"/>
  <c r="S19" i="102"/>
  <c r="U19" i="102"/>
  <c r="M20" i="102"/>
  <c r="O20" i="102"/>
  <c r="Q20" i="102"/>
  <c r="S20" i="102"/>
  <c r="U20" i="102"/>
  <c r="M21" i="102"/>
  <c r="O21" i="102"/>
  <c r="Q21" i="102"/>
  <c r="S21" i="102"/>
  <c r="U21" i="102"/>
  <c r="M22" i="102"/>
  <c r="O22" i="102"/>
  <c r="Q22" i="102"/>
  <c r="S22" i="102"/>
  <c r="U22" i="102"/>
  <c r="M23" i="102"/>
  <c r="O23" i="102"/>
  <c r="Q23" i="102"/>
  <c r="S23" i="102"/>
  <c r="U23" i="102"/>
  <c r="L4" i="102"/>
  <c r="N4" i="102"/>
  <c r="P4" i="102"/>
  <c r="R4" i="102"/>
  <c r="T4" i="102"/>
  <c r="L5" i="102"/>
  <c r="N5" i="102"/>
  <c r="P5" i="102"/>
  <c r="R5" i="102"/>
  <c r="T5" i="102"/>
  <c r="L6" i="102"/>
  <c r="N6" i="102"/>
  <c r="P6" i="102"/>
  <c r="R6" i="102"/>
  <c r="T6" i="102"/>
  <c r="L7" i="102"/>
  <c r="N7" i="102"/>
  <c r="P7" i="102"/>
  <c r="R7" i="102"/>
  <c r="T7" i="102"/>
  <c r="L8" i="102"/>
  <c r="N8" i="102"/>
  <c r="P8" i="102"/>
  <c r="R8" i="102"/>
  <c r="T8" i="102"/>
  <c r="L9" i="102"/>
  <c r="N9" i="102"/>
  <c r="P9" i="102"/>
  <c r="R9" i="102"/>
  <c r="T9" i="102"/>
  <c r="L10" i="102"/>
  <c r="N10" i="102"/>
  <c r="P10" i="102"/>
  <c r="R10" i="102"/>
  <c r="T10" i="102"/>
  <c r="L11" i="102"/>
  <c r="N11" i="102"/>
  <c r="P11" i="102"/>
  <c r="R11" i="102"/>
  <c r="T11" i="102"/>
  <c r="L12" i="102"/>
  <c r="N12" i="102"/>
  <c r="P12" i="102"/>
  <c r="R12" i="102"/>
  <c r="T12" i="102"/>
  <c r="L13" i="102"/>
  <c r="N13" i="102"/>
  <c r="P13" i="102"/>
  <c r="R13" i="102"/>
  <c r="T13" i="102"/>
  <c r="L14" i="102"/>
  <c r="N14" i="102"/>
  <c r="P14" i="102"/>
  <c r="R14" i="102"/>
  <c r="T14" i="102"/>
  <c r="L15" i="102"/>
  <c r="N15" i="102"/>
  <c r="P15" i="102"/>
  <c r="R15" i="102"/>
  <c r="T15" i="102"/>
  <c r="L16" i="102"/>
  <c r="N16" i="102"/>
  <c r="P16" i="102"/>
  <c r="R16" i="102"/>
  <c r="T16" i="102"/>
  <c r="L17" i="102"/>
  <c r="N17" i="102"/>
  <c r="P17" i="102"/>
  <c r="R17" i="102"/>
  <c r="T17" i="102"/>
  <c r="L18" i="102"/>
  <c r="N18" i="102"/>
  <c r="P18" i="102"/>
  <c r="R18" i="102"/>
  <c r="T18" i="102"/>
  <c r="L19" i="102"/>
  <c r="N19" i="102"/>
  <c r="P19" i="102"/>
  <c r="R19" i="102"/>
  <c r="T19" i="102"/>
  <c r="L20" i="102"/>
  <c r="N20" i="102"/>
  <c r="P20" i="102"/>
  <c r="R20" i="102"/>
  <c r="T20" i="102"/>
  <c r="L21" i="102"/>
  <c r="N21" i="102"/>
  <c r="P21" i="102"/>
  <c r="R21" i="102"/>
  <c r="T21" i="102"/>
  <c r="L22" i="102"/>
  <c r="N22" i="102"/>
  <c r="P22" i="102"/>
  <c r="R22" i="102"/>
  <c r="T22" i="102"/>
  <c r="L23" i="102"/>
  <c r="N23" i="102"/>
  <c r="P23" i="102"/>
  <c r="R23" i="102"/>
  <c r="V22" i="102" l="1"/>
  <c r="X22" i="102" s="1"/>
  <c r="V12" i="102"/>
  <c r="X12" i="102" s="1"/>
  <c r="V6" i="102"/>
  <c r="X6" i="102" s="1"/>
  <c r="W22" i="102"/>
  <c r="Y22" i="102" s="1"/>
  <c r="W20" i="102"/>
  <c r="Y20" i="102" s="1"/>
  <c r="W16" i="102"/>
  <c r="Y16" i="102" s="1"/>
  <c r="W12" i="102"/>
  <c r="Y12" i="102" s="1"/>
  <c r="W8" i="102"/>
  <c r="Y8" i="102" s="1"/>
  <c r="W6" i="102"/>
  <c r="Y6" i="102" s="1"/>
  <c r="M24" i="102"/>
  <c r="W4" i="102"/>
  <c r="Y4" i="102" s="1"/>
  <c r="P24" i="102"/>
  <c r="U24" i="102"/>
  <c r="Q24" i="102"/>
  <c r="V20" i="102"/>
  <c r="X20" i="102" s="1"/>
  <c r="V18" i="102"/>
  <c r="X18" i="102" s="1"/>
  <c r="V16" i="102"/>
  <c r="X16" i="102" s="1"/>
  <c r="V14" i="102"/>
  <c r="X14" i="102" s="1"/>
  <c r="V10" i="102"/>
  <c r="X10" i="102" s="1"/>
  <c r="V8" i="102"/>
  <c r="X8" i="102" s="1"/>
  <c r="L24" i="102"/>
  <c r="V4" i="102"/>
  <c r="X4" i="102" s="1"/>
  <c r="W18" i="102"/>
  <c r="Y18" i="102" s="1"/>
  <c r="W14" i="102"/>
  <c r="Y14" i="102" s="1"/>
  <c r="W10" i="102"/>
  <c r="Y10" i="102" s="1"/>
  <c r="V23" i="102"/>
  <c r="X23" i="102" s="1"/>
  <c r="V21" i="102"/>
  <c r="X21" i="102" s="1"/>
  <c r="V19" i="102"/>
  <c r="X19" i="102" s="1"/>
  <c r="V17" i="102"/>
  <c r="X17" i="102" s="1"/>
  <c r="V15" i="102"/>
  <c r="X15" i="102" s="1"/>
  <c r="V13" i="102"/>
  <c r="X13" i="102" s="1"/>
  <c r="V11" i="102"/>
  <c r="X11" i="102" s="1"/>
  <c r="V9" i="102"/>
  <c r="X9" i="102" s="1"/>
  <c r="V7" i="102"/>
  <c r="X7" i="102" s="1"/>
  <c r="V5" i="102"/>
  <c r="X5" i="102" s="1"/>
  <c r="W23" i="102"/>
  <c r="Y23" i="102" s="1"/>
  <c r="W21" i="102"/>
  <c r="Y21" i="102" s="1"/>
  <c r="W19" i="102"/>
  <c r="Y19" i="102" s="1"/>
  <c r="W17" i="102"/>
  <c r="Y17" i="102" s="1"/>
  <c r="W15" i="102"/>
  <c r="Y15" i="102" s="1"/>
  <c r="W13" i="102"/>
  <c r="Y13" i="102" s="1"/>
  <c r="W11" i="102"/>
  <c r="Y11" i="102" s="1"/>
  <c r="W9" i="102"/>
  <c r="Y9" i="102" s="1"/>
  <c r="W7" i="102"/>
  <c r="Y7" i="102" s="1"/>
  <c r="W5" i="102"/>
  <c r="Y5" i="102" s="1"/>
  <c r="T24" i="102"/>
  <c r="R24" i="102"/>
  <c r="N24" i="102"/>
  <c r="S24" i="102"/>
  <c r="O24" i="102"/>
  <c r="X24" i="102" l="1"/>
  <c r="V24" i="102"/>
  <c r="W24" i="102"/>
  <c r="Y24" i="102"/>
  <c r="B189" i="101" l="1"/>
  <c r="W30" i="101"/>
  <c r="Y30" i="101" s="1"/>
  <c r="N4" i="101"/>
  <c r="A2" i="101"/>
  <c r="N20" i="101" s="1"/>
  <c r="P5" i="101" l="1"/>
  <c r="N8" i="101"/>
  <c r="N6" i="101"/>
  <c r="R9" i="101"/>
  <c r="U6" i="101"/>
  <c r="R6" i="101"/>
  <c r="T8" i="101"/>
  <c r="U10" i="101"/>
  <c r="U11" i="101"/>
  <c r="N12" i="101"/>
  <c r="L13" i="101"/>
  <c r="T13" i="101"/>
  <c r="N14" i="101"/>
  <c r="L15" i="101"/>
  <c r="T15" i="101"/>
  <c r="R16" i="101"/>
  <c r="L17" i="101"/>
  <c r="T17" i="101"/>
  <c r="N18" i="101"/>
  <c r="L19" i="101"/>
  <c r="P19" i="101"/>
  <c r="T19" i="101"/>
  <c r="R20" i="101"/>
  <c r="T4" i="101"/>
  <c r="U5" i="101"/>
  <c r="R5" i="101"/>
  <c r="T6" i="101"/>
  <c r="U7" i="101"/>
  <c r="T7" i="101"/>
  <c r="U8" i="101"/>
  <c r="R8" i="101"/>
  <c r="N9" i="101"/>
  <c r="N10" i="101"/>
  <c r="R10" i="101"/>
  <c r="P11" i="101"/>
  <c r="R11" i="101"/>
  <c r="L12" i="101"/>
  <c r="P12" i="101"/>
  <c r="T12" i="101"/>
  <c r="N13" i="101"/>
  <c r="R13" i="101"/>
  <c r="L14" i="101"/>
  <c r="V14" i="101" s="1"/>
  <c r="P14" i="101"/>
  <c r="T14" i="101"/>
  <c r="N15" i="101"/>
  <c r="R15" i="101"/>
  <c r="L16" i="101"/>
  <c r="P16" i="101"/>
  <c r="T16" i="101"/>
  <c r="N17" i="101"/>
  <c r="R17" i="101"/>
  <c r="L18" i="101"/>
  <c r="P18" i="101"/>
  <c r="T18" i="101"/>
  <c r="N19" i="101"/>
  <c r="R19" i="101"/>
  <c r="L20" i="101"/>
  <c r="P20" i="101"/>
  <c r="T20" i="101"/>
  <c r="U29" i="101"/>
  <c r="R4" i="101"/>
  <c r="T5" i="101"/>
  <c r="R7" i="101"/>
  <c r="U9" i="101"/>
  <c r="T9" i="101"/>
  <c r="T10" i="101"/>
  <c r="T11" i="101"/>
  <c r="R12" i="101"/>
  <c r="P13" i="101"/>
  <c r="R14" i="101"/>
  <c r="P15" i="101"/>
  <c r="N16" i="101"/>
  <c r="P17" i="101"/>
  <c r="R18" i="101"/>
  <c r="P29" i="101"/>
  <c r="U38" i="101"/>
  <c r="U30" i="101"/>
  <c r="S30" i="101"/>
  <c r="T30" i="101"/>
  <c r="R30" i="101"/>
  <c r="Q5" i="101"/>
  <c r="O5" i="101"/>
  <c r="Q7" i="101"/>
  <c r="O7" i="101"/>
  <c r="Q4" i="101"/>
  <c r="O4" i="101"/>
  <c r="Q6" i="101"/>
  <c r="O6" i="101"/>
  <c r="Q8" i="101"/>
  <c r="O8" i="101"/>
  <c r="L5" i="101"/>
  <c r="L7" i="101"/>
  <c r="P7" i="101"/>
  <c r="L4" i="101"/>
  <c r="P4" i="101"/>
  <c r="N5" i="101"/>
  <c r="L6" i="101"/>
  <c r="P6" i="101"/>
  <c r="N7" i="101"/>
  <c r="L8" i="101"/>
  <c r="P8" i="101"/>
  <c r="T64" i="101"/>
  <c r="R64" i="101"/>
  <c r="P64" i="101"/>
  <c r="N64" i="101"/>
  <c r="T63" i="101"/>
  <c r="R63" i="101"/>
  <c r="U62" i="101"/>
  <c r="S62" i="101"/>
  <c r="Q62" i="101"/>
  <c r="O62" i="101"/>
  <c r="M62" i="101"/>
  <c r="U61" i="101"/>
  <c r="S61" i="101"/>
  <c r="M61" i="101"/>
  <c r="T60" i="101"/>
  <c r="R60" i="101"/>
  <c r="U58" i="101"/>
  <c r="S58" i="101"/>
  <c r="Q58" i="101"/>
  <c r="O58" i="101"/>
  <c r="M58" i="101"/>
  <c r="U57" i="101"/>
  <c r="S57" i="101"/>
  <c r="Q57" i="101"/>
  <c r="O57" i="101"/>
  <c r="M57" i="101"/>
  <c r="U56" i="101"/>
  <c r="S56" i="101"/>
  <c r="Q56" i="101"/>
  <c r="O56" i="101"/>
  <c r="M56" i="101"/>
  <c r="U55" i="101"/>
  <c r="S55" i="101"/>
  <c r="Q55" i="101"/>
  <c r="O55" i="101"/>
  <c r="M55" i="101"/>
  <c r="U54" i="101"/>
  <c r="S54" i="101"/>
  <c r="Q54" i="101"/>
  <c r="O54" i="101"/>
  <c r="M54" i="101"/>
  <c r="U53" i="101"/>
  <c r="S53" i="101"/>
  <c r="Q53" i="101"/>
  <c r="O53" i="101"/>
  <c r="M53" i="101"/>
  <c r="U52" i="101"/>
  <c r="S52" i="101"/>
  <c r="Q52" i="101"/>
  <c r="O52" i="101"/>
  <c r="M52" i="101"/>
  <c r="U51" i="101"/>
  <c r="S51" i="101"/>
  <c r="Q51" i="101"/>
  <c r="O51" i="101"/>
  <c r="M51" i="101"/>
  <c r="U50" i="101"/>
  <c r="S50" i="101"/>
  <c r="Q50" i="101"/>
  <c r="O50" i="101"/>
  <c r="M50" i="101"/>
  <c r="U49" i="101"/>
  <c r="S49" i="101"/>
  <c r="Q49" i="101"/>
  <c r="O49" i="101"/>
  <c r="M49" i="101"/>
  <c r="U48" i="101"/>
  <c r="S48" i="101"/>
  <c r="Q48" i="101"/>
  <c r="O48" i="101"/>
  <c r="M48" i="101"/>
  <c r="U47" i="101"/>
  <c r="S47" i="101"/>
  <c r="Q47" i="101"/>
  <c r="O47" i="101"/>
  <c r="M47" i="101"/>
  <c r="U46" i="101"/>
  <c r="S46" i="101"/>
  <c r="Q46" i="101"/>
  <c r="O46" i="101"/>
  <c r="M46" i="101"/>
  <c r="U45" i="101"/>
  <c r="S45" i="101"/>
  <c r="Q45" i="101"/>
  <c r="O45" i="101"/>
  <c r="M45" i="101"/>
  <c r="U44" i="101"/>
  <c r="S44" i="101"/>
  <c r="Q44" i="101"/>
  <c r="O44" i="101"/>
  <c r="M44" i="101"/>
  <c r="U43" i="101"/>
  <c r="S43" i="101"/>
  <c r="M43" i="101"/>
  <c r="T41" i="101"/>
  <c r="R41" i="101"/>
  <c r="U40" i="101"/>
  <c r="S40" i="101"/>
  <c r="M40" i="101"/>
  <c r="T37" i="101"/>
  <c r="R37" i="101"/>
  <c r="P37" i="101"/>
  <c r="N37" i="101"/>
  <c r="L37" i="101"/>
  <c r="T36" i="101"/>
  <c r="R36" i="101"/>
  <c r="P36" i="101"/>
  <c r="N36" i="101"/>
  <c r="L36" i="101"/>
  <c r="T35" i="101"/>
  <c r="R35" i="101"/>
  <c r="P35" i="101"/>
  <c r="N35" i="101"/>
  <c r="L35" i="101"/>
  <c r="T34" i="101"/>
  <c r="R34" i="101"/>
  <c r="P34" i="101"/>
  <c r="N34" i="101"/>
  <c r="L34" i="101"/>
  <c r="T33" i="101"/>
  <c r="R33" i="101"/>
  <c r="P33" i="101"/>
  <c r="N33" i="101"/>
  <c r="L33" i="101"/>
  <c r="T32" i="101"/>
  <c r="R32" i="101"/>
  <c r="P32" i="101"/>
  <c r="N32" i="101"/>
  <c r="L32" i="101"/>
  <c r="T31" i="101"/>
  <c r="R31" i="101"/>
  <c r="P31" i="101"/>
  <c r="N31" i="101"/>
  <c r="U64" i="101"/>
  <c r="S64" i="101"/>
  <c r="Q64" i="101"/>
  <c r="O64" i="101"/>
  <c r="M64" i="101"/>
  <c r="U63" i="101"/>
  <c r="S63" i="101"/>
  <c r="M63" i="101"/>
  <c r="T62" i="101"/>
  <c r="R62" i="101"/>
  <c r="P62" i="101"/>
  <c r="N62" i="101"/>
  <c r="L62" i="101"/>
  <c r="T61" i="101"/>
  <c r="R61" i="101"/>
  <c r="U60" i="101"/>
  <c r="S60" i="101"/>
  <c r="M60" i="101"/>
  <c r="T59" i="101"/>
  <c r="R59" i="101"/>
  <c r="T58" i="101"/>
  <c r="R58" i="101"/>
  <c r="P58" i="101"/>
  <c r="N58" i="101"/>
  <c r="L58" i="101"/>
  <c r="T57" i="101"/>
  <c r="R57" i="101"/>
  <c r="P57" i="101"/>
  <c r="N57" i="101"/>
  <c r="L57" i="101"/>
  <c r="T56" i="101"/>
  <c r="R56" i="101"/>
  <c r="P56" i="101"/>
  <c r="N56" i="101"/>
  <c r="L56" i="101"/>
  <c r="T55" i="101"/>
  <c r="R55" i="101"/>
  <c r="P55" i="101"/>
  <c r="N55" i="101"/>
  <c r="L55" i="101"/>
  <c r="T54" i="101"/>
  <c r="R54" i="101"/>
  <c r="P54" i="101"/>
  <c r="N54" i="101"/>
  <c r="L54" i="101"/>
  <c r="T53" i="101"/>
  <c r="R53" i="101"/>
  <c r="P53" i="101"/>
  <c r="N53" i="101"/>
  <c r="L53" i="101"/>
  <c r="T52" i="101"/>
  <c r="R52" i="101"/>
  <c r="P52" i="101"/>
  <c r="N52" i="101"/>
  <c r="L52" i="101"/>
  <c r="T51" i="101"/>
  <c r="R51" i="101"/>
  <c r="P51" i="101"/>
  <c r="N51" i="101"/>
  <c r="L51" i="101"/>
  <c r="T50" i="101"/>
  <c r="R50" i="101"/>
  <c r="P50" i="101"/>
  <c r="N50" i="101"/>
  <c r="L50" i="101"/>
  <c r="T49" i="101"/>
  <c r="R49" i="101"/>
  <c r="P49" i="101"/>
  <c r="N49" i="101"/>
  <c r="L49" i="101"/>
  <c r="T48" i="101"/>
  <c r="R48" i="101"/>
  <c r="P48" i="101"/>
  <c r="N48" i="101"/>
  <c r="L48" i="101"/>
  <c r="T47" i="101"/>
  <c r="R47" i="101"/>
  <c r="P47" i="101"/>
  <c r="N47" i="101"/>
  <c r="L47" i="101"/>
  <c r="T46" i="101"/>
  <c r="R46" i="101"/>
  <c r="P46" i="101"/>
  <c r="N46" i="101"/>
  <c r="L46" i="101"/>
  <c r="T45" i="101"/>
  <c r="R45" i="101"/>
  <c r="P45" i="101"/>
  <c r="T39" i="101"/>
  <c r="R39" i="101"/>
  <c r="T42" i="101"/>
  <c r="R42" i="101"/>
  <c r="Q61" i="101"/>
  <c r="O61" i="101"/>
  <c r="P61" i="101"/>
  <c r="N61" i="101"/>
  <c r="L61" i="101"/>
  <c r="L9" i="101"/>
  <c r="P9" i="101"/>
  <c r="L10" i="101"/>
  <c r="P10" i="101"/>
  <c r="N11" i="101"/>
  <c r="V12" i="101"/>
  <c r="X12" i="101" s="1"/>
  <c r="V13" i="101"/>
  <c r="X13" i="101" s="1"/>
  <c r="X14" i="101"/>
  <c r="M4" i="101"/>
  <c r="S4" i="101"/>
  <c r="U4" i="101"/>
  <c r="M5" i="101"/>
  <c r="S5" i="101"/>
  <c r="M6" i="101"/>
  <c r="S6" i="101"/>
  <c r="M7" i="101"/>
  <c r="S7" i="101"/>
  <c r="M8" i="101"/>
  <c r="S8" i="101"/>
  <c r="M9" i="101"/>
  <c r="O9" i="101"/>
  <c r="Q9" i="101"/>
  <c r="S9" i="101"/>
  <c r="M10" i="101"/>
  <c r="O10" i="101"/>
  <c r="Q10" i="101"/>
  <c r="S10" i="101"/>
  <c r="M11" i="101"/>
  <c r="O11" i="101"/>
  <c r="Q11" i="101"/>
  <c r="S11" i="101"/>
  <c r="M12" i="101"/>
  <c r="O12" i="101"/>
  <c r="Q12" i="101"/>
  <c r="S12" i="101"/>
  <c r="U12" i="101"/>
  <c r="M13" i="101"/>
  <c r="O13" i="101"/>
  <c r="Q13" i="101"/>
  <c r="S13" i="101"/>
  <c r="U13" i="101"/>
  <c r="M14" i="101"/>
  <c r="O14" i="101"/>
  <c r="Q14" i="101"/>
  <c r="S14" i="101"/>
  <c r="U14" i="101"/>
  <c r="M15" i="101"/>
  <c r="O15" i="101"/>
  <c r="Q15" i="101"/>
  <c r="S15" i="101"/>
  <c r="U15" i="101"/>
  <c r="M16" i="101"/>
  <c r="O16" i="101"/>
  <c r="Q16" i="101"/>
  <c r="S16" i="101"/>
  <c r="U16" i="101"/>
  <c r="M17" i="101"/>
  <c r="O17" i="101"/>
  <c r="Q17" i="101"/>
  <c r="S17" i="101"/>
  <c r="U17" i="101"/>
  <c r="M18" i="101"/>
  <c r="O18" i="101"/>
  <c r="Q18" i="101"/>
  <c r="S18" i="101"/>
  <c r="U18" i="101"/>
  <c r="M19" i="101"/>
  <c r="O19" i="101"/>
  <c r="Q19" i="101"/>
  <c r="S19" i="101"/>
  <c r="U19" i="101"/>
  <c r="M20" i="101"/>
  <c r="O20" i="101"/>
  <c r="Q20" i="101"/>
  <c r="S20" i="101"/>
  <c r="U20" i="101"/>
  <c r="M21" i="101"/>
  <c r="O21" i="101"/>
  <c r="Q21" i="101"/>
  <c r="S21" i="101"/>
  <c r="U21" i="101"/>
  <c r="M22" i="101"/>
  <c r="O22" i="101"/>
  <c r="Q22" i="101"/>
  <c r="S22" i="101"/>
  <c r="U22" i="101"/>
  <c r="M23" i="101"/>
  <c r="O23" i="101"/>
  <c r="Q23" i="101"/>
  <c r="S23" i="101"/>
  <c r="U23" i="101"/>
  <c r="M24" i="101"/>
  <c r="O24" i="101"/>
  <c r="Q24" i="101"/>
  <c r="S24" i="101"/>
  <c r="U24" i="101"/>
  <c r="M25" i="101"/>
  <c r="O25" i="101"/>
  <c r="Q25" i="101"/>
  <c r="S25" i="101"/>
  <c r="U25" i="101"/>
  <c r="M26" i="101"/>
  <c r="O26" i="101"/>
  <c r="Q26" i="101"/>
  <c r="S26" i="101"/>
  <c r="U26" i="101"/>
  <c r="M27" i="101"/>
  <c r="O27" i="101"/>
  <c r="Q27" i="101"/>
  <c r="S27" i="101"/>
  <c r="U27" i="101"/>
  <c r="M28" i="101"/>
  <c r="O28" i="101"/>
  <c r="Q28" i="101"/>
  <c r="S28" i="101"/>
  <c r="U28" i="101"/>
  <c r="M29" i="101"/>
  <c r="O29" i="101"/>
  <c r="Q29" i="101"/>
  <c r="S29" i="101"/>
  <c r="L31" i="101"/>
  <c r="O31" i="101"/>
  <c r="S31" i="101"/>
  <c r="M32" i="101"/>
  <c r="Q32" i="101"/>
  <c r="U32" i="101"/>
  <c r="O33" i="101"/>
  <c r="S33" i="101"/>
  <c r="M34" i="101"/>
  <c r="Q34" i="101"/>
  <c r="U34" i="101"/>
  <c r="O35" i="101"/>
  <c r="S35" i="101"/>
  <c r="M36" i="101"/>
  <c r="Q36" i="101"/>
  <c r="U36" i="101"/>
  <c r="O37" i="101"/>
  <c r="S37" i="101"/>
  <c r="M38" i="101"/>
  <c r="Q38" i="101"/>
  <c r="O39" i="101"/>
  <c r="S39" i="101"/>
  <c r="T40" i="101"/>
  <c r="M41" i="101"/>
  <c r="U41" i="101"/>
  <c r="O42" i="101"/>
  <c r="S42" i="101"/>
  <c r="T43" i="101"/>
  <c r="N44" i="101"/>
  <c r="R44" i="101"/>
  <c r="L45" i="101"/>
  <c r="T38" i="101"/>
  <c r="R38" i="101"/>
  <c r="L11" i="101"/>
  <c r="V15" i="101"/>
  <c r="X15" i="101" s="1"/>
  <c r="V16" i="101"/>
  <c r="X16" i="101" s="1"/>
  <c r="V17" i="101"/>
  <c r="X17" i="101" s="1"/>
  <c r="V18" i="101"/>
  <c r="X18" i="101" s="1"/>
  <c r="V19" i="101"/>
  <c r="X19" i="101" s="1"/>
  <c r="V20" i="101"/>
  <c r="X20" i="101" s="1"/>
  <c r="L21" i="101"/>
  <c r="N21" i="101"/>
  <c r="P21" i="101"/>
  <c r="R21" i="101"/>
  <c r="T21" i="101"/>
  <c r="L22" i="101"/>
  <c r="N22" i="101"/>
  <c r="P22" i="101"/>
  <c r="R22" i="101"/>
  <c r="T22" i="101"/>
  <c r="L23" i="101"/>
  <c r="N23" i="101"/>
  <c r="P23" i="101"/>
  <c r="R23" i="101"/>
  <c r="T23" i="101"/>
  <c r="L24" i="101"/>
  <c r="N24" i="101"/>
  <c r="P24" i="101"/>
  <c r="R24" i="101"/>
  <c r="T24" i="101"/>
  <c r="L25" i="101"/>
  <c r="N25" i="101"/>
  <c r="P25" i="101"/>
  <c r="R25" i="101"/>
  <c r="T25" i="101"/>
  <c r="L26" i="101"/>
  <c r="N26" i="101"/>
  <c r="P26" i="101"/>
  <c r="R26" i="101"/>
  <c r="T26" i="101"/>
  <c r="L27" i="101"/>
  <c r="N27" i="101"/>
  <c r="P27" i="101"/>
  <c r="R27" i="101"/>
  <c r="T27" i="101"/>
  <c r="L28" i="101"/>
  <c r="N28" i="101"/>
  <c r="P28" i="101"/>
  <c r="R28" i="101"/>
  <c r="T28" i="101"/>
  <c r="L29" i="101"/>
  <c r="N29" i="101"/>
  <c r="R29" i="101"/>
  <c r="T29" i="101"/>
  <c r="M31" i="101"/>
  <c r="Q31" i="101"/>
  <c r="U31" i="101"/>
  <c r="O32" i="101"/>
  <c r="S32" i="101"/>
  <c r="M33" i="101"/>
  <c r="Q33" i="101"/>
  <c r="U33" i="101"/>
  <c r="O34" i="101"/>
  <c r="S34" i="101"/>
  <c r="M35" i="101"/>
  <c r="Q35" i="101"/>
  <c r="U35" i="101"/>
  <c r="O36" i="101"/>
  <c r="S36" i="101"/>
  <c r="M37" i="101"/>
  <c r="Q37" i="101"/>
  <c r="U37" i="101"/>
  <c r="O38" i="101"/>
  <c r="S38" i="101"/>
  <c r="P39" i="101"/>
  <c r="M39" i="101"/>
  <c r="Q39" i="101"/>
  <c r="U39" i="101"/>
  <c r="R40" i="101"/>
  <c r="S41" i="101"/>
  <c r="P42" i="101"/>
  <c r="M42" i="101"/>
  <c r="Q42" i="101"/>
  <c r="U42" i="101"/>
  <c r="R43" i="101"/>
  <c r="L44" i="101"/>
  <c r="P44" i="101"/>
  <c r="T44" i="101"/>
  <c r="N45" i="101"/>
  <c r="U59" i="101"/>
  <c r="L59" i="101"/>
  <c r="N59" i="101"/>
  <c r="P59" i="101"/>
  <c r="L38" i="101"/>
  <c r="N38" i="101"/>
  <c r="P38" i="101"/>
  <c r="L39" i="101"/>
  <c r="N39" i="101"/>
  <c r="L42" i="101"/>
  <c r="N42" i="101"/>
  <c r="M59" i="101"/>
  <c r="O59" i="101"/>
  <c r="Q59" i="101"/>
  <c r="S59" i="101"/>
  <c r="T65" i="101" l="1"/>
  <c r="R65" i="101"/>
  <c r="V38" i="101"/>
  <c r="X38" i="101" s="1"/>
  <c r="V59" i="101"/>
  <c r="X59" i="101" s="1"/>
  <c r="P41" i="101"/>
  <c r="N41" i="101"/>
  <c r="L41" i="101"/>
  <c r="O41" i="101"/>
  <c r="Q41" i="101"/>
  <c r="W39" i="101"/>
  <c r="Y39" i="101" s="1"/>
  <c r="W37" i="101"/>
  <c r="Y37" i="101" s="1"/>
  <c r="W33" i="101"/>
  <c r="Y33" i="101" s="1"/>
  <c r="V28" i="101"/>
  <c r="X28" i="101" s="1"/>
  <c r="V26" i="101"/>
  <c r="X26" i="101" s="1"/>
  <c r="V24" i="101"/>
  <c r="X24" i="101" s="1"/>
  <c r="V22" i="101"/>
  <c r="X22" i="101" s="1"/>
  <c r="V11" i="101"/>
  <c r="X11" i="101" s="1"/>
  <c r="W41" i="101"/>
  <c r="Y41" i="101" s="1"/>
  <c r="Q40" i="101"/>
  <c r="O40" i="101"/>
  <c r="N40" i="101"/>
  <c r="P40" i="101"/>
  <c r="L40" i="101"/>
  <c r="W34" i="101"/>
  <c r="Y34" i="101" s="1"/>
  <c r="V31" i="101"/>
  <c r="X31" i="101" s="1"/>
  <c r="W29" i="101"/>
  <c r="Y29" i="101" s="1"/>
  <c r="W27" i="101"/>
  <c r="Y27" i="101" s="1"/>
  <c r="W25" i="101"/>
  <c r="Y25" i="101" s="1"/>
  <c r="W23" i="101"/>
  <c r="Y23" i="101" s="1"/>
  <c r="W21" i="101"/>
  <c r="Y21" i="101" s="1"/>
  <c r="W19" i="101"/>
  <c r="Y19" i="101" s="1"/>
  <c r="W17" i="101"/>
  <c r="Y17" i="101" s="1"/>
  <c r="W15" i="101"/>
  <c r="Y15" i="101" s="1"/>
  <c r="W13" i="101"/>
  <c r="Y13" i="101" s="1"/>
  <c r="M65" i="101"/>
  <c r="W4" i="101"/>
  <c r="Y4" i="101" s="1"/>
  <c r="V10" i="101"/>
  <c r="X10" i="101" s="1"/>
  <c r="V9" i="101"/>
  <c r="X9" i="101" s="1"/>
  <c r="Q43" i="101"/>
  <c r="O43" i="101"/>
  <c r="N43" i="101"/>
  <c r="P43" i="101"/>
  <c r="L43" i="101"/>
  <c r="V46" i="101"/>
  <c r="X46" i="101" s="1"/>
  <c r="V48" i="101"/>
  <c r="X48" i="101" s="1"/>
  <c r="V50" i="101"/>
  <c r="X50" i="101" s="1"/>
  <c r="V52" i="101"/>
  <c r="X52" i="101" s="1"/>
  <c r="V54" i="101"/>
  <c r="X54" i="101" s="1"/>
  <c r="V56" i="101"/>
  <c r="X56" i="101" s="1"/>
  <c r="V58" i="101"/>
  <c r="X58" i="101" s="1"/>
  <c r="V62" i="101"/>
  <c r="X62" i="101" s="1"/>
  <c r="W64" i="101"/>
  <c r="Y64" i="101" s="1"/>
  <c r="V33" i="101"/>
  <c r="X33" i="101" s="1"/>
  <c r="V35" i="101"/>
  <c r="X35" i="101" s="1"/>
  <c r="V37" i="101"/>
  <c r="X37" i="101" s="1"/>
  <c r="W43" i="101"/>
  <c r="Y43" i="101" s="1"/>
  <c r="W45" i="101"/>
  <c r="Y45" i="101" s="1"/>
  <c r="W47" i="101"/>
  <c r="Y47" i="101" s="1"/>
  <c r="W49" i="101"/>
  <c r="Y49" i="101" s="1"/>
  <c r="W51" i="101"/>
  <c r="Y51" i="101" s="1"/>
  <c r="W53" i="101"/>
  <c r="Y53" i="101" s="1"/>
  <c r="W55" i="101"/>
  <c r="Y55" i="101" s="1"/>
  <c r="W57" i="101"/>
  <c r="Y57" i="101" s="1"/>
  <c r="W61" i="101"/>
  <c r="Y61" i="101" s="1"/>
  <c r="V64" i="101"/>
  <c r="X64" i="101" s="1"/>
  <c r="V6" i="101"/>
  <c r="X6" i="101" s="1"/>
  <c r="V4" i="101"/>
  <c r="X4" i="101" s="1"/>
  <c r="V7" i="101"/>
  <c r="X7" i="101" s="1"/>
  <c r="P63" i="101"/>
  <c r="N63" i="101"/>
  <c r="L63" i="101"/>
  <c r="Q63" i="101"/>
  <c r="O63" i="101"/>
  <c r="U65" i="101"/>
  <c r="W59" i="101"/>
  <c r="Y59" i="101" s="1"/>
  <c r="V42" i="101"/>
  <c r="X42" i="101" s="1"/>
  <c r="V39" i="101"/>
  <c r="X39" i="101" s="1"/>
  <c r="P60" i="101"/>
  <c r="N60" i="101"/>
  <c r="L60" i="101"/>
  <c r="Q60" i="101"/>
  <c r="O60" i="101"/>
  <c r="V44" i="101"/>
  <c r="X44" i="101" s="1"/>
  <c r="W42" i="101"/>
  <c r="Y42" i="101" s="1"/>
  <c r="W35" i="101"/>
  <c r="Y35" i="101" s="1"/>
  <c r="W31" i="101"/>
  <c r="Y31" i="101" s="1"/>
  <c r="V29" i="101"/>
  <c r="X29" i="101" s="1"/>
  <c r="V27" i="101"/>
  <c r="X27" i="101" s="1"/>
  <c r="V25" i="101"/>
  <c r="X25" i="101" s="1"/>
  <c r="V23" i="101"/>
  <c r="X23" i="101" s="1"/>
  <c r="V21" i="101"/>
  <c r="X21" i="101" s="1"/>
  <c r="V45" i="101"/>
  <c r="X45" i="101" s="1"/>
  <c r="W38" i="101"/>
  <c r="Y38" i="101" s="1"/>
  <c r="W36" i="101"/>
  <c r="Y36" i="101" s="1"/>
  <c r="W32" i="101"/>
  <c r="Y32" i="101" s="1"/>
  <c r="W28" i="101"/>
  <c r="Y28" i="101" s="1"/>
  <c r="W26" i="101"/>
  <c r="Y26" i="101" s="1"/>
  <c r="W24" i="101"/>
  <c r="Y24" i="101" s="1"/>
  <c r="W22" i="101"/>
  <c r="Y22" i="101" s="1"/>
  <c r="W20" i="101"/>
  <c r="Y20" i="101" s="1"/>
  <c r="W18" i="101"/>
  <c r="Y18" i="101" s="1"/>
  <c r="W16" i="101"/>
  <c r="Y16" i="101" s="1"/>
  <c r="W14" i="101"/>
  <c r="Y14" i="101" s="1"/>
  <c r="W12" i="101"/>
  <c r="Y12" i="101" s="1"/>
  <c r="W11" i="101"/>
  <c r="Y11" i="101" s="1"/>
  <c r="W10" i="101"/>
  <c r="Y10" i="101" s="1"/>
  <c r="W9" i="101"/>
  <c r="Y9" i="101" s="1"/>
  <c r="W8" i="101"/>
  <c r="Y8" i="101" s="1"/>
  <c r="W7" i="101"/>
  <c r="Y7" i="101" s="1"/>
  <c r="W6" i="101"/>
  <c r="Y6" i="101" s="1"/>
  <c r="W5" i="101"/>
  <c r="Y5" i="101" s="1"/>
  <c r="V61" i="101"/>
  <c r="X61" i="101" s="1"/>
  <c r="V47" i="101"/>
  <c r="X47" i="101" s="1"/>
  <c r="V49" i="101"/>
  <c r="X49" i="101" s="1"/>
  <c r="V51" i="101"/>
  <c r="X51" i="101" s="1"/>
  <c r="V53" i="101"/>
  <c r="X53" i="101" s="1"/>
  <c r="V55" i="101"/>
  <c r="X55" i="101" s="1"/>
  <c r="V57" i="101"/>
  <c r="X57" i="101" s="1"/>
  <c r="W60" i="101"/>
  <c r="Y60" i="101" s="1"/>
  <c r="W63" i="101"/>
  <c r="Y63" i="101" s="1"/>
  <c r="V32" i="101"/>
  <c r="X32" i="101" s="1"/>
  <c r="V34" i="101"/>
  <c r="X34" i="101" s="1"/>
  <c r="V36" i="101"/>
  <c r="X36" i="101" s="1"/>
  <c r="W40" i="101"/>
  <c r="Y40" i="101" s="1"/>
  <c r="W44" i="101"/>
  <c r="Y44" i="101" s="1"/>
  <c r="W46" i="101"/>
  <c r="Y46" i="101" s="1"/>
  <c r="W48" i="101"/>
  <c r="Y48" i="101" s="1"/>
  <c r="W50" i="101"/>
  <c r="Y50" i="101" s="1"/>
  <c r="W52" i="101"/>
  <c r="Y52" i="101" s="1"/>
  <c r="W54" i="101"/>
  <c r="Y54" i="101" s="1"/>
  <c r="W56" i="101"/>
  <c r="Y56" i="101" s="1"/>
  <c r="W58" i="101"/>
  <c r="Y58" i="101" s="1"/>
  <c r="W62" i="101"/>
  <c r="Y62" i="101" s="1"/>
  <c r="V8" i="101"/>
  <c r="X8" i="101" s="1"/>
  <c r="V5" i="101"/>
  <c r="X5" i="101" s="1"/>
  <c r="Q30" i="101"/>
  <c r="O30" i="101"/>
  <c r="L30" i="101"/>
  <c r="P30" i="101"/>
  <c r="N30" i="101"/>
  <c r="S65" i="101"/>
  <c r="P65" i="101" l="1"/>
  <c r="O65" i="101"/>
  <c r="N65" i="101"/>
  <c r="Q65" i="101"/>
  <c r="Y65" i="101"/>
  <c r="V60" i="101"/>
  <c r="X60" i="101" s="1"/>
  <c r="V30" i="101"/>
  <c r="X30" i="101" s="1"/>
  <c r="V63" i="101"/>
  <c r="X63" i="101" s="1"/>
  <c r="V43" i="101"/>
  <c r="X43" i="101" s="1"/>
  <c r="V40" i="101"/>
  <c r="X40" i="101" s="1"/>
  <c r="L65" i="101"/>
  <c r="D190" i="101"/>
  <c r="V41" i="101"/>
  <c r="X41" i="101" s="1"/>
  <c r="W65" i="101"/>
  <c r="V65" i="101" l="1"/>
  <c r="X65" i="101"/>
  <c r="D189" i="101"/>
  <c r="B190" i="100" l="1"/>
  <c r="A2" i="100"/>
  <c r="R8" i="100" l="1"/>
  <c r="L10" i="100"/>
  <c r="M42" i="100"/>
  <c r="M10" i="100"/>
  <c r="P4" i="100"/>
  <c r="L4" i="100"/>
  <c r="T4" i="100"/>
  <c r="R5" i="100"/>
  <c r="P6" i="100"/>
  <c r="N7" i="100"/>
  <c r="L8" i="100"/>
  <c r="V8" i="100" s="1"/>
  <c r="X8" i="100" s="1"/>
  <c r="U8" i="100"/>
  <c r="N5" i="100"/>
  <c r="L6" i="100"/>
  <c r="T6" i="100"/>
  <c r="R7" i="100"/>
  <c r="P8" i="100"/>
  <c r="N4" i="100"/>
  <c r="R4" i="100"/>
  <c r="L5" i="100"/>
  <c r="P5" i="100"/>
  <c r="T5" i="100"/>
  <c r="N6" i="100"/>
  <c r="R6" i="100"/>
  <c r="L7" i="100"/>
  <c r="P7" i="100"/>
  <c r="T7" i="100"/>
  <c r="N8" i="100"/>
  <c r="U42" i="100"/>
  <c r="S42" i="100"/>
  <c r="Q42" i="100"/>
  <c r="O42" i="100"/>
  <c r="U41" i="100"/>
  <c r="S41" i="100"/>
  <c r="Q41" i="100"/>
  <c r="O41" i="100"/>
  <c r="M41" i="100"/>
  <c r="U40" i="100"/>
  <c r="S40" i="100"/>
  <c r="Q40" i="100"/>
  <c r="O40" i="100"/>
  <c r="M40" i="100"/>
  <c r="U39" i="100"/>
  <c r="S39" i="100"/>
  <c r="Q39" i="100"/>
  <c r="O39" i="100"/>
  <c r="M39" i="100"/>
  <c r="U38" i="100"/>
  <c r="S38" i="100"/>
  <c r="Q38" i="100"/>
  <c r="O38" i="100"/>
  <c r="M38" i="100"/>
  <c r="U37" i="100"/>
  <c r="S37" i="100"/>
  <c r="Q37" i="100"/>
  <c r="O37" i="100"/>
  <c r="M37" i="100"/>
  <c r="U36" i="100"/>
  <c r="S36" i="100"/>
  <c r="Q36" i="100"/>
  <c r="O36" i="100"/>
  <c r="M36" i="100"/>
  <c r="U35" i="100"/>
  <c r="S35" i="100"/>
  <c r="Q35" i="100"/>
  <c r="O35" i="100"/>
  <c r="M35" i="100"/>
  <c r="U34" i="100"/>
  <c r="S34" i="100"/>
  <c r="Q34" i="100"/>
  <c r="O34" i="100"/>
  <c r="M34" i="100"/>
  <c r="U33" i="100"/>
  <c r="S33" i="100"/>
  <c r="Q33" i="100"/>
  <c r="O33" i="100"/>
  <c r="M33" i="100"/>
  <c r="U32" i="100"/>
  <c r="S32" i="100"/>
  <c r="Q32" i="100"/>
  <c r="O32" i="100"/>
  <c r="M32" i="100"/>
  <c r="U31" i="100"/>
  <c r="S31" i="100"/>
  <c r="Q31" i="100"/>
  <c r="O31" i="100"/>
  <c r="M31" i="100"/>
  <c r="U30" i="100"/>
  <c r="S30" i="100"/>
  <c r="Q30" i="100"/>
  <c r="O30" i="100"/>
  <c r="M30" i="100"/>
  <c r="U29" i="100"/>
  <c r="S29" i="100"/>
  <c r="Q29" i="100"/>
  <c r="O29" i="100"/>
  <c r="M29" i="100"/>
  <c r="U28" i="100"/>
  <c r="S28" i="100"/>
  <c r="Q28" i="100"/>
  <c r="O28" i="100"/>
  <c r="M28" i="100"/>
  <c r="U27" i="100"/>
  <c r="S27" i="100"/>
  <c r="Q27" i="100"/>
  <c r="O27" i="100"/>
  <c r="M27" i="100"/>
  <c r="U26" i="100"/>
  <c r="S26" i="100"/>
  <c r="Q26" i="100"/>
  <c r="O26" i="100"/>
  <c r="M26" i="100"/>
  <c r="U25" i="100"/>
  <c r="S25" i="100"/>
  <c r="Q25" i="100"/>
  <c r="O25" i="100"/>
  <c r="M25" i="100"/>
  <c r="U24" i="100"/>
  <c r="S24" i="100"/>
  <c r="Q24" i="100"/>
  <c r="O24" i="100"/>
  <c r="M24" i="100"/>
  <c r="U23" i="100"/>
  <c r="S23" i="100"/>
  <c r="Q23" i="100"/>
  <c r="O23" i="100"/>
  <c r="M23" i="100"/>
  <c r="U22" i="100"/>
  <c r="S22" i="100"/>
  <c r="Q22" i="100"/>
  <c r="O22" i="100"/>
  <c r="M22" i="100"/>
  <c r="U21" i="100"/>
  <c r="S21" i="100"/>
  <c r="Q21" i="100"/>
  <c r="O21" i="100"/>
  <c r="M21" i="100"/>
  <c r="U20" i="100"/>
  <c r="S20" i="100"/>
  <c r="Q20" i="100"/>
  <c r="O20" i="100"/>
  <c r="M20" i="100"/>
  <c r="U19" i="100"/>
  <c r="S19" i="100"/>
  <c r="Q19" i="100"/>
  <c r="O19" i="100"/>
  <c r="M19" i="100"/>
  <c r="U18" i="100"/>
  <c r="S18" i="100"/>
  <c r="Q18" i="100"/>
  <c r="O18" i="100"/>
  <c r="M18" i="100"/>
  <c r="U17" i="100"/>
  <c r="S17" i="100"/>
  <c r="Q17" i="100"/>
  <c r="O17" i="100"/>
  <c r="M17" i="100"/>
  <c r="U16" i="100"/>
  <c r="S16" i="100"/>
  <c r="Q16" i="100"/>
  <c r="O16" i="100"/>
  <c r="M16" i="100"/>
  <c r="U15" i="100"/>
  <c r="S15" i="100"/>
  <c r="Q15" i="100"/>
  <c r="O15" i="100"/>
  <c r="M15" i="100"/>
  <c r="U14" i="100"/>
  <c r="S14" i="100"/>
  <c r="Q14" i="100"/>
  <c r="O14" i="100"/>
  <c r="M14" i="100"/>
  <c r="U13" i="100"/>
  <c r="S13" i="100"/>
  <c r="Q13" i="100"/>
  <c r="O13" i="100"/>
  <c r="M13" i="100"/>
  <c r="U12" i="100"/>
  <c r="S12" i="100"/>
  <c r="Q12" i="100"/>
  <c r="O12" i="100"/>
  <c r="M12" i="100"/>
  <c r="U11" i="100"/>
  <c r="S11" i="100"/>
  <c r="Q11" i="100"/>
  <c r="O11" i="100"/>
  <c r="M11" i="100"/>
  <c r="U10" i="100"/>
  <c r="S10" i="100"/>
  <c r="Q10" i="100"/>
  <c r="O10" i="100"/>
  <c r="U9" i="100"/>
  <c r="S9" i="100"/>
  <c r="Q9" i="100"/>
  <c r="O9" i="100"/>
  <c r="T42" i="100"/>
  <c r="R42" i="100"/>
  <c r="P42" i="100"/>
  <c r="N42" i="100"/>
  <c r="T41" i="100"/>
  <c r="R41" i="100"/>
  <c r="P41" i="100"/>
  <c r="N41" i="100"/>
  <c r="L41" i="100"/>
  <c r="T40" i="100"/>
  <c r="R40" i="100"/>
  <c r="P40" i="100"/>
  <c r="N40" i="100"/>
  <c r="L40" i="100"/>
  <c r="T39" i="100"/>
  <c r="R39" i="100"/>
  <c r="P39" i="100"/>
  <c r="N39" i="100"/>
  <c r="L39" i="100"/>
  <c r="T38" i="100"/>
  <c r="R38" i="100"/>
  <c r="P38" i="100"/>
  <c r="N38" i="100"/>
  <c r="L38" i="100"/>
  <c r="T37" i="100"/>
  <c r="R37" i="100"/>
  <c r="P37" i="100"/>
  <c r="N37" i="100"/>
  <c r="L37" i="100"/>
  <c r="T36" i="100"/>
  <c r="R36" i="100"/>
  <c r="P36" i="100"/>
  <c r="N36" i="100"/>
  <c r="L36" i="100"/>
  <c r="T35" i="100"/>
  <c r="R35" i="100"/>
  <c r="P35" i="100"/>
  <c r="N35" i="100"/>
  <c r="L35" i="100"/>
  <c r="T34" i="100"/>
  <c r="R34" i="100"/>
  <c r="P34" i="100"/>
  <c r="N34" i="100"/>
  <c r="L34" i="100"/>
  <c r="T33" i="100"/>
  <c r="R33" i="100"/>
  <c r="P33" i="100"/>
  <c r="N33" i="100"/>
  <c r="L33" i="100"/>
  <c r="T32" i="100"/>
  <c r="R32" i="100"/>
  <c r="P32" i="100"/>
  <c r="N32" i="100"/>
  <c r="L32" i="100"/>
  <c r="T31" i="100"/>
  <c r="R31" i="100"/>
  <c r="P31" i="100"/>
  <c r="N31" i="100"/>
  <c r="L31" i="100"/>
  <c r="T30" i="100"/>
  <c r="R30" i="100"/>
  <c r="P30" i="100"/>
  <c r="N30" i="100"/>
  <c r="L30" i="100"/>
  <c r="T29" i="100"/>
  <c r="R29" i="100"/>
  <c r="P29" i="100"/>
  <c r="N29" i="100"/>
  <c r="L29" i="100"/>
  <c r="T28" i="100"/>
  <c r="R28" i="100"/>
  <c r="P28" i="100"/>
  <c r="N28" i="100"/>
  <c r="L28" i="100"/>
  <c r="T27" i="100"/>
  <c r="R27" i="100"/>
  <c r="P27" i="100"/>
  <c r="N27" i="100"/>
  <c r="L27" i="100"/>
  <c r="T26" i="100"/>
  <c r="R26" i="100"/>
  <c r="P26" i="100"/>
  <c r="N26" i="100"/>
  <c r="L26" i="100"/>
  <c r="T25" i="100"/>
  <c r="R25" i="100"/>
  <c r="P25" i="100"/>
  <c r="N25" i="100"/>
  <c r="L25" i="100"/>
  <c r="T24" i="100"/>
  <c r="R24" i="100"/>
  <c r="P24" i="100"/>
  <c r="N24" i="100"/>
  <c r="L24" i="100"/>
  <c r="T23" i="100"/>
  <c r="R23" i="100"/>
  <c r="P23" i="100"/>
  <c r="N23" i="100"/>
  <c r="L23" i="100"/>
  <c r="T22" i="100"/>
  <c r="R22" i="100"/>
  <c r="P22" i="100"/>
  <c r="N22" i="100"/>
  <c r="L22" i="100"/>
  <c r="T21" i="100"/>
  <c r="R21" i="100"/>
  <c r="P21" i="100"/>
  <c r="N21" i="100"/>
  <c r="L21" i="100"/>
  <c r="T20" i="100"/>
  <c r="R20" i="100"/>
  <c r="P20" i="100"/>
  <c r="N20" i="100"/>
  <c r="L20" i="100"/>
  <c r="T19" i="100"/>
  <c r="R19" i="100"/>
  <c r="P19" i="100"/>
  <c r="N19" i="100"/>
  <c r="L19" i="100"/>
  <c r="T18" i="100"/>
  <c r="R18" i="100"/>
  <c r="P18" i="100"/>
  <c r="N18" i="100"/>
  <c r="L18" i="100"/>
  <c r="T17" i="100"/>
  <c r="R17" i="100"/>
  <c r="P17" i="100"/>
  <c r="N17" i="100"/>
  <c r="L17" i="100"/>
  <c r="T16" i="100"/>
  <c r="R16" i="100"/>
  <c r="P16" i="100"/>
  <c r="N16" i="100"/>
  <c r="L16" i="100"/>
  <c r="T15" i="100"/>
  <c r="R15" i="100"/>
  <c r="P15" i="100"/>
  <c r="N15" i="100"/>
  <c r="L15" i="100"/>
  <c r="T14" i="100"/>
  <c r="R14" i="100"/>
  <c r="P14" i="100"/>
  <c r="N14" i="100"/>
  <c r="L14" i="100"/>
  <c r="T13" i="100"/>
  <c r="R13" i="100"/>
  <c r="P13" i="100"/>
  <c r="N13" i="100"/>
  <c r="L13" i="100"/>
  <c r="T12" i="100"/>
  <c r="R12" i="100"/>
  <c r="P12" i="100"/>
  <c r="P43" i="100" s="1"/>
  <c r="N12" i="100"/>
  <c r="L12" i="100"/>
  <c r="T11" i="100"/>
  <c r="R11" i="100"/>
  <c r="P11" i="100"/>
  <c r="N11" i="100"/>
  <c r="L11" i="100"/>
  <c r="T10" i="100"/>
  <c r="R10" i="100"/>
  <c r="P10" i="100"/>
  <c r="N10" i="100"/>
  <c r="T9" i="100"/>
  <c r="R9" i="100"/>
  <c r="P9" i="100"/>
  <c r="N9" i="100"/>
  <c r="L9" i="100"/>
  <c r="T8" i="100"/>
  <c r="V5" i="100"/>
  <c r="X5" i="100" s="1"/>
  <c r="V7" i="100"/>
  <c r="X7" i="100" s="1"/>
  <c r="M4" i="100"/>
  <c r="O4" i="100"/>
  <c r="Q4" i="100"/>
  <c r="S4" i="100"/>
  <c r="U4" i="100"/>
  <c r="M5" i="100"/>
  <c r="O5" i="100"/>
  <c r="Q5" i="100"/>
  <c r="S5" i="100"/>
  <c r="U5" i="100"/>
  <c r="M6" i="100"/>
  <c r="O6" i="100"/>
  <c r="Q6" i="100"/>
  <c r="S6" i="100"/>
  <c r="U6" i="100"/>
  <c r="M7" i="100"/>
  <c r="O7" i="100"/>
  <c r="Q7" i="100"/>
  <c r="S7" i="100"/>
  <c r="U7" i="100"/>
  <c r="M8" i="100"/>
  <c r="O8" i="100"/>
  <c r="Q8" i="100"/>
  <c r="S8" i="100"/>
  <c r="M9" i="100"/>
  <c r="V4" i="100"/>
  <c r="X4" i="100" s="1"/>
  <c r="V6" i="100"/>
  <c r="X6" i="100" s="1"/>
  <c r="N43" i="100" l="1"/>
  <c r="T43" i="100"/>
  <c r="R43" i="100"/>
  <c r="W8" i="100"/>
  <c r="Y8" i="100" s="1"/>
  <c r="W6" i="100"/>
  <c r="Y6" i="100" s="1"/>
  <c r="M43" i="100"/>
  <c r="W4" i="100"/>
  <c r="Y4" i="100" s="1"/>
  <c r="V9" i="100"/>
  <c r="X9" i="100" s="1"/>
  <c r="V13" i="100"/>
  <c r="X13" i="100" s="1"/>
  <c r="V17" i="100"/>
  <c r="X17" i="100" s="1"/>
  <c r="V23" i="100"/>
  <c r="X23" i="100" s="1"/>
  <c r="W7" i="100"/>
  <c r="Y7" i="100" s="1"/>
  <c r="W5" i="100"/>
  <c r="Y5" i="100" s="1"/>
  <c r="V10" i="100"/>
  <c r="X10" i="100" s="1"/>
  <c r="V12" i="100"/>
  <c r="X12" i="100" s="1"/>
  <c r="V14" i="100"/>
  <c r="X14" i="100" s="1"/>
  <c r="V16" i="100"/>
  <c r="X16" i="100" s="1"/>
  <c r="V18" i="100"/>
  <c r="X18" i="100" s="1"/>
  <c r="V20" i="100"/>
  <c r="X20" i="100" s="1"/>
  <c r="V22" i="100"/>
  <c r="X22" i="100" s="1"/>
  <c r="V24" i="100"/>
  <c r="X24" i="100" s="1"/>
  <c r="V26" i="100"/>
  <c r="X26" i="100" s="1"/>
  <c r="V28" i="100"/>
  <c r="X28" i="100" s="1"/>
  <c r="V30" i="100"/>
  <c r="X30" i="100" s="1"/>
  <c r="V32" i="100"/>
  <c r="X32" i="100" s="1"/>
  <c r="V34" i="100"/>
  <c r="X34" i="100" s="1"/>
  <c r="V36" i="100"/>
  <c r="X36" i="100" s="1"/>
  <c r="V38" i="100"/>
  <c r="X38" i="100" s="1"/>
  <c r="V40" i="100"/>
  <c r="X40" i="100" s="1"/>
  <c r="V42" i="100"/>
  <c r="X42" i="100" s="1"/>
  <c r="W11" i="100"/>
  <c r="Y11" i="100" s="1"/>
  <c r="W13" i="100"/>
  <c r="Y13" i="100" s="1"/>
  <c r="W15" i="100"/>
  <c r="Y15" i="100" s="1"/>
  <c r="W17" i="100"/>
  <c r="Y17" i="100" s="1"/>
  <c r="W19" i="100"/>
  <c r="Y19" i="100" s="1"/>
  <c r="W21" i="100"/>
  <c r="Y21" i="100" s="1"/>
  <c r="W23" i="100"/>
  <c r="Y23" i="100" s="1"/>
  <c r="W25" i="100"/>
  <c r="Y25" i="100" s="1"/>
  <c r="W27" i="100"/>
  <c r="Y27" i="100" s="1"/>
  <c r="W29" i="100"/>
  <c r="Y29" i="100" s="1"/>
  <c r="W31" i="100"/>
  <c r="Y31" i="100" s="1"/>
  <c r="W33" i="100"/>
  <c r="Y33" i="100" s="1"/>
  <c r="W35" i="100"/>
  <c r="Y35" i="100" s="1"/>
  <c r="W37" i="100"/>
  <c r="Y37" i="100" s="1"/>
  <c r="W39" i="100"/>
  <c r="Y39" i="100" s="1"/>
  <c r="W41" i="100"/>
  <c r="Y41" i="100" s="1"/>
  <c r="Q43" i="100"/>
  <c r="L43" i="100"/>
  <c r="S43" i="100"/>
  <c r="O43" i="100"/>
  <c r="W9" i="100"/>
  <c r="Y9" i="100" s="1"/>
  <c r="V11" i="100"/>
  <c r="X11" i="100" s="1"/>
  <c r="V15" i="100"/>
  <c r="X15" i="100" s="1"/>
  <c r="V19" i="100"/>
  <c r="X19" i="100" s="1"/>
  <c r="V21" i="100"/>
  <c r="X21" i="100" s="1"/>
  <c r="V25" i="100"/>
  <c r="X25" i="100" s="1"/>
  <c r="V27" i="100"/>
  <c r="X27" i="100" s="1"/>
  <c r="V29" i="100"/>
  <c r="X29" i="100" s="1"/>
  <c r="V31" i="100"/>
  <c r="X31" i="100" s="1"/>
  <c r="V33" i="100"/>
  <c r="X33" i="100" s="1"/>
  <c r="V35" i="100"/>
  <c r="X35" i="100" s="1"/>
  <c r="V37" i="100"/>
  <c r="X37" i="100" s="1"/>
  <c r="V39" i="100"/>
  <c r="X39" i="100" s="1"/>
  <c r="V41" i="100"/>
  <c r="X41" i="100" s="1"/>
  <c r="W10" i="100"/>
  <c r="Y10" i="100" s="1"/>
  <c r="W12" i="100"/>
  <c r="Y12" i="100" s="1"/>
  <c r="W14" i="100"/>
  <c r="Y14" i="100" s="1"/>
  <c r="W16" i="100"/>
  <c r="Y16" i="100" s="1"/>
  <c r="W18" i="100"/>
  <c r="Y18" i="100" s="1"/>
  <c r="W20" i="100"/>
  <c r="Y20" i="100" s="1"/>
  <c r="W22" i="100"/>
  <c r="Y22" i="100" s="1"/>
  <c r="W24" i="100"/>
  <c r="Y24" i="100" s="1"/>
  <c r="W26" i="100"/>
  <c r="Y26" i="100" s="1"/>
  <c r="W28" i="100"/>
  <c r="Y28" i="100" s="1"/>
  <c r="W30" i="100"/>
  <c r="Y30" i="100" s="1"/>
  <c r="W32" i="100"/>
  <c r="Y32" i="100" s="1"/>
  <c r="W34" i="100"/>
  <c r="Y34" i="100" s="1"/>
  <c r="W36" i="100"/>
  <c r="Y36" i="100" s="1"/>
  <c r="W38" i="100"/>
  <c r="Y38" i="100" s="1"/>
  <c r="W40" i="100"/>
  <c r="Y40" i="100" s="1"/>
  <c r="W42" i="100"/>
  <c r="Y42" i="100" s="1"/>
  <c r="U43" i="100"/>
  <c r="V43" i="100" l="1"/>
  <c r="Y43" i="100"/>
  <c r="X43" i="100"/>
  <c r="W43" i="100"/>
  <c r="B189" i="99" l="1"/>
  <c r="A2" i="99"/>
  <c r="T14" i="99" s="1"/>
  <c r="P12" i="99" l="1"/>
  <c r="P5" i="99"/>
  <c r="P7" i="99"/>
  <c r="P9" i="99"/>
  <c r="Q4" i="99"/>
  <c r="Q6" i="99"/>
  <c r="Q8" i="99"/>
  <c r="Q10" i="99"/>
  <c r="N4" i="99"/>
  <c r="R4" i="99"/>
  <c r="O5" i="99"/>
  <c r="S5" i="99"/>
  <c r="N6" i="99"/>
  <c r="R6" i="99"/>
  <c r="M7" i="99"/>
  <c r="S7" i="99"/>
  <c r="N8" i="99"/>
  <c r="R8" i="99"/>
  <c r="O9" i="99"/>
  <c r="U9" i="99"/>
  <c r="L10" i="99"/>
  <c r="P10" i="99"/>
  <c r="T10" i="99"/>
  <c r="N11" i="99"/>
  <c r="R11" i="99"/>
  <c r="M12" i="99"/>
  <c r="S12" i="99"/>
  <c r="O13" i="99"/>
  <c r="U13" i="99"/>
  <c r="O14" i="99"/>
  <c r="U14" i="99"/>
  <c r="L4" i="99"/>
  <c r="P4" i="99"/>
  <c r="T4" i="99"/>
  <c r="M5" i="99"/>
  <c r="Q5" i="99"/>
  <c r="U5" i="99"/>
  <c r="L6" i="99"/>
  <c r="P6" i="99"/>
  <c r="T6" i="99"/>
  <c r="O7" i="99"/>
  <c r="Q7" i="99"/>
  <c r="U7" i="99"/>
  <c r="L8" i="99"/>
  <c r="P8" i="99"/>
  <c r="T8" i="99"/>
  <c r="M9" i="99"/>
  <c r="Q9" i="99"/>
  <c r="S9" i="99"/>
  <c r="N10" i="99"/>
  <c r="R10" i="99"/>
  <c r="L11" i="99"/>
  <c r="P11" i="99"/>
  <c r="T11" i="99"/>
  <c r="O12" i="99"/>
  <c r="Q12" i="99"/>
  <c r="U12" i="99"/>
  <c r="M13" i="99"/>
  <c r="Q13" i="99"/>
  <c r="S13" i="99"/>
  <c r="M14" i="99"/>
  <c r="Q14" i="99"/>
  <c r="S14" i="99"/>
  <c r="M4" i="99"/>
  <c r="O4" i="99"/>
  <c r="S4" i="99"/>
  <c r="U4" i="99"/>
  <c r="L5" i="99"/>
  <c r="N5" i="99"/>
  <c r="R5" i="99"/>
  <c r="T5" i="99"/>
  <c r="M6" i="99"/>
  <c r="O6" i="99"/>
  <c r="S6" i="99"/>
  <c r="U6" i="99"/>
  <c r="L7" i="99"/>
  <c r="N7" i="99"/>
  <c r="R7" i="99"/>
  <c r="T7" i="99"/>
  <c r="M8" i="99"/>
  <c r="O8" i="99"/>
  <c r="S8" i="99"/>
  <c r="U8" i="99"/>
  <c r="L9" i="99"/>
  <c r="N9" i="99"/>
  <c r="R9" i="99"/>
  <c r="T9" i="99"/>
  <c r="M10" i="99"/>
  <c r="O10" i="99"/>
  <c r="S10" i="99"/>
  <c r="U10" i="99"/>
  <c r="M11" i="99"/>
  <c r="O11" i="99"/>
  <c r="Q11" i="99"/>
  <c r="S11" i="99"/>
  <c r="U11" i="99"/>
  <c r="L12" i="99"/>
  <c r="N12" i="99"/>
  <c r="R12" i="99"/>
  <c r="T12" i="99"/>
  <c r="L13" i="99"/>
  <c r="N13" i="99"/>
  <c r="P13" i="99"/>
  <c r="R13" i="99"/>
  <c r="T13" i="99"/>
  <c r="N14" i="99"/>
  <c r="P14" i="99"/>
  <c r="R14" i="99"/>
  <c r="Q15" i="99" l="1"/>
  <c r="V12" i="99"/>
  <c r="X12" i="99" s="1"/>
  <c r="W14" i="99"/>
  <c r="Y14" i="99" s="1"/>
  <c r="W9" i="99"/>
  <c r="Y9" i="99" s="1"/>
  <c r="W5" i="99"/>
  <c r="Y5" i="99" s="1"/>
  <c r="V10" i="99"/>
  <c r="X10" i="99" s="1"/>
  <c r="W7" i="99"/>
  <c r="Y7" i="99" s="1"/>
  <c r="V14" i="99"/>
  <c r="X14" i="99" s="1"/>
  <c r="W11" i="99"/>
  <c r="Y11" i="99" s="1"/>
  <c r="W10" i="99"/>
  <c r="Y10" i="99" s="1"/>
  <c r="V9" i="99"/>
  <c r="X9" i="99" s="1"/>
  <c r="W8" i="99"/>
  <c r="Y8" i="99" s="1"/>
  <c r="V7" i="99"/>
  <c r="X7" i="99" s="1"/>
  <c r="W6" i="99"/>
  <c r="Y6" i="99" s="1"/>
  <c r="V5" i="99"/>
  <c r="X5" i="99" s="1"/>
  <c r="W4" i="99"/>
  <c r="M15" i="99"/>
  <c r="W13" i="99"/>
  <c r="Y13" i="99" s="1"/>
  <c r="V11" i="99"/>
  <c r="X11" i="99" s="1"/>
  <c r="V8" i="99"/>
  <c r="X8" i="99" s="1"/>
  <c r="V6" i="99"/>
  <c r="X6" i="99" s="1"/>
  <c r="L15" i="99"/>
  <c r="V4" i="99"/>
  <c r="W12" i="99"/>
  <c r="Y12" i="99" s="1"/>
  <c r="O15" i="99"/>
  <c r="P15" i="99"/>
  <c r="S15" i="99"/>
  <c r="T15" i="99"/>
  <c r="R15" i="99"/>
  <c r="V13" i="99"/>
  <c r="X13" i="99" s="1"/>
  <c r="U15" i="99"/>
  <c r="N15" i="99"/>
  <c r="W15" i="99" l="1"/>
  <c r="V15" i="99"/>
  <c r="D189" i="99"/>
  <c r="D190" i="99"/>
  <c r="X4" i="99"/>
  <c r="X15" i="99" s="1"/>
  <c r="Y4" i="99"/>
  <c r="Y15" i="99" s="1"/>
  <c r="B194" i="98" l="1"/>
  <c r="T4" i="98"/>
  <c r="L4" i="98"/>
  <c r="A2" i="98"/>
  <c r="U16" i="98" s="1"/>
  <c r="P4" i="98" l="1"/>
  <c r="N5" i="98"/>
  <c r="R5" i="98"/>
  <c r="L6" i="98"/>
  <c r="P6" i="98"/>
  <c r="T6" i="98"/>
  <c r="N7" i="98"/>
  <c r="R7" i="98"/>
  <c r="S8" i="98"/>
  <c r="Q9" i="98"/>
  <c r="N9" i="98"/>
  <c r="R9" i="98"/>
  <c r="S10" i="98"/>
  <c r="M11" i="98"/>
  <c r="Q11" i="98"/>
  <c r="U11" i="98"/>
  <c r="O12" i="98"/>
  <c r="S12" i="98"/>
  <c r="M13" i="98"/>
  <c r="Q13" i="98"/>
  <c r="U13" i="98"/>
  <c r="O14" i="98"/>
  <c r="S14" i="98"/>
  <c r="M15" i="98"/>
  <c r="Q15" i="98"/>
  <c r="U15" i="98"/>
  <c r="O16" i="98"/>
  <c r="S16" i="98"/>
  <c r="Q21" i="98"/>
  <c r="Q24" i="98"/>
  <c r="Q29" i="98"/>
  <c r="N4" i="98"/>
  <c r="R4" i="98"/>
  <c r="L5" i="98"/>
  <c r="P5" i="98"/>
  <c r="T5" i="98"/>
  <c r="N6" i="98"/>
  <c r="R6" i="98"/>
  <c r="L7" i="98"/>
  <c r="P7" i="98"/>
  <c r="T7" i="98"/>
  <c r="M8" i="98"/>
  <c r="U8" i="98"/>
  <c r="L9" i="98"/>
  <c r="P9" i="98"/>
  <c r="T9" i="98"/>
  <c r="M10" i="98"/>
  <c r="U10" i="98"/>
  <c r="O11" i="98"/>
  <c r="S11" i="98"/>
  <c r="M12" i="98"/>
  <c r="Q12" i="98"/>
  <c r="U12" i="98"/>
  <c r="O13" i="98"/>
  <c r="S13" i="98"/>
  <c r="M14" i="98"/>
  <c r="Q14" i="98"/>
  <c r="U14" i="98"/>
  <c r="O15" i="98"/>
  <c r="S15" i="98"/>
  <c r="M16" i="98"/>
  <c r="Q16" i="98"/>
  <c r="Q22" i="98"/>
  <c r="Q56" i="98"/>
  <c r="O56" i="98"/>
  <c r="P56" i="98"/>
  <c r="N56" i="98"/>
  <c r="L56" i="98"/>
  <c r="P55" i="98"/>
  <c r="N55" i="98"/>
  <c r="L55" i="98"/>
  <c r="Q55" i="98"/>
  <c r="O55" i="98"/>
  <c r="T58" i="98"/>
  <c r="R58" i="98"/>
  <c r="P58" i="98"/>
  <c r="N58" i="98"/>
  <c r="T57" i="98"/>
  <c r="R57" i="98"/>
  <c r="U56" i="98"/>
  <c r="S56" i="98"/>
  <c r="M56" i="98"/>
  <c r="T55" i="98"/>
  <c r="R55" i="98"/>
  <c r="U54" i="98"/>
  <c r="S54" i="98"/>
  <c r="Q54" i="98"/>
  <c r="O54" i="98"/>
  <c r="M54" i="98"/>
  <c r="U53" i="98"/>
  <c r="S53" i="98"/>
  <c r="M53" i="98"/>
  <c r="T52" i="98"/>
  <c r="R52" i="98"/>
  <c r="P52" i="98"/>
  <c r="N52" i="98"/>
  <c r="L52" i="98"/>
  <c r="T51" i="98"/>
  <c r="R51" i="98"/>
  <c r="P51" i="98"/>
  <c r="N51" i="98"/>
  <c r="L51" i="98"/>
  <c r="T50" i="98"/>
  <c r="R50" i="98"/>
  <c r="P50" i="98"/>
  <c r="N50" i="98"/>
  <c r="L50" i="98"/>
  <c r="T49" i="98"/>
  <c r="R49" i="98"/>
  <c r="P49" i="98"/>
  <c r="N49" i="98"/>
  <c r="L49" i="98"/>
  <c r="T48" i="98"/>
  <c r="R48" i="98"/>
  <c r="P48" i="98"/>
  <c r="N48" i="98"/>
  <c r="L48" i="98"/>
  <c r="T47" i="98"/>
  <c r="R47" i="98"/>
  <c r="P47" i="98"/>
  <c r="N47" i="98"/>
  <c r="L47" i="98"/>
  <c r="T46" i="98"/>
  <c r="R46" i="98"/>
  <c r="P46" i="98"/>
  <c r="N46" i="98"/>
  <c r="L46" i="98"/>
  <c r="T45" i="98"/>
  <c r="R45" i="98"/>
  <c r="P45" i="98"/>
  <c r="N45" i="98"/>
  <c r="L45" i="98"/>
  <c r="T44" i="98"/>
  <c r="R44" i="98"/>
  <c r="P44" i="98"/>
  <c r="N44" i="98"/>
  <c r="L44" i="98"/>
  <c r="T43" i="98"/>
  <c r="R43" i="98"/>
  <c r="P43" i="98"/>
  <c r="N43" i="98"/>
  <c r="L43" i="98"/>
  <c r="T42" i="98"/>
  <c r="R42" i="98"/>
  <c r="P42" i="98"/>
  <c r="N42" i="98"/>
  <c r="L42" i="98"/>
  <c r="T41" i="98"/>
  <c r="R41" i="98"/>
  <c r="P41" i="98"/>
  <c r="N41" i="98"/>
  <c r="L41" i="98"/>
  <c r="T40" i="98"/>
  <c r="R40" i="98"/>
  <c r="P40" i="98"/>
  <c r="N40" i="98"/>
  <c r="L40" i="98"/>
  <c r="T39" i="98"/>
  <c r="R39" i="98"/>
  <c r="P39" i="98"/>
  <c r="N39" i="98"/>
  <c r="L39" i="98"/>
  <c r="T38" i="98"/>
  <c r="R38" i="98"/>
  <c r="P38" i="98"/>
  <c r="N38" i="98"/>
  <c r="L38" i="98"/>
  <c r="T37" i="98"/>
  <c r="R37" i="98"/>
  <c r="P37" i="98"/>
  <c r="N37" i="98"/>
  <c r="L37" i="98"/>
  <c r="T36" i="98"/>
  <c r="R36" i="98"/>
  <c r="P36" i="98"/>
  <c r="N36" i="98"/>
  <c r="L36" i="98"/>
  <c r="T35" i="98"/>
  <c r="R35" i="98"/>
  <c r="P35" i="98"/>
  <c r="N35" i="98"/>
  <c r="L35" i="98"/>
  <c r="T34" i="98"/>
  <c r="R34" i="98"/>
  <c r="U33" i="98"/>
  <c r="S33" i="98"/>
  <c r="Q33" i="98"/>
  <c r="O33" i="98"/>
  <c r="M33" i="98"/>
  <c r="U32" i="98"/>
  <c r="S32" i="98"/>
  <c r="Q32" i="98"/>
  <c r="O32" i="98"/>
  <c r="M32" i="98"/>
  <c r="U31" i="98"/>
  <c r="S31" i="98"/>
  <c r="Q31" i="98"/>
  <c r="O31" i="98"/>
  <c r="M31" i="98"/>
  <c r="U30" i="98"/>
  <c r="S30" i="98"/>
  <c r="M30" i="98"/>
  <c r="T29" i="98"/>
  <c r="R29" i="98"/>
  <c r="U28" i="98"/>
  <c r="S28" i="98"/>
  <c r="M28" i="98"/>
  <c r="T27" i="98"/>
  <c r="R27" i="98"/>
  <c r="P27" i="98"/>
  <c r="N27" i="98"/>
  <c r="L27" i="98"/>
  <c r="T26" i="98"/>
  <c r="R26" i="98"/>
  <c r="U25" i="98"/>
  <c r="S25" i="98"/>
  <c r="M25" i="98"/>
  <c r="U58" i="98"/>
  <c r="S58" i="98"/>
  <c r="Q58" i="98"/>
  <c r="O58" i="98"/>
  <c r="M58" i="98"/>
  <c r="U57" i="98"/>
  <c r="S57" i="98"/>
  <c r="M57" i="98"/>
  <c r="T56" i="98"/>
  <c r="R56" i="98"/>
  <c r="U55" i="98"/>
  <c r="S55" i="98"/>
  <c r="M55" i="98"/>
  <c r="T54" i="98"/>
  <c r="R54" i="98"/>
  <c r="P54" i="98"/>
  <c r="N54" i="98"/>
  <c r="L54" i="98"/>
  <c r="T53" i="98"/>
  <c r="R53" i="98"/>
  <c r="P53" i="98"/>
  <c r="N53" i="98"/>
  <c r="L53" i="98"/>
  <c r="U52" i="98"/>
  <c r="S52" i="98"/>
  <c r="Q52" i="98"/>
  <c r="O52" i="98"/>
  <c r="M52" i="98"/>
  <c r="U51" i="98"/>
  <c r="S51" i="98"/>
  <c r="Q51" i="98"/>
  <c r="O51" i="98"/>
  <c r="M51" i="98"/>
  <c r="U50" i="98"/>
  <c r="S50" i="98"/>
  <c r="Q50" i="98"/>
  <c r="O50" i="98"/>
  <c r="M50" i="98"/>
  <c r="U49" i="98"/>
  <c r="S49" i="98"/>
  <c r="Q49" i="98"/>
  <c r="O49" i="98"/>
  <c r="M49" i="98"/>
  <c r="U48" i="98"/>
  <c r="S48" i="98"/>
  <c r="Q48" i="98"/>
  <c r="O48" i="98"/>
  <c r="M48" i="98"/>
  <c r="U47" i="98"/>
  <c r="S47" i="98"/>
  <c r="Q47" i="98"/>
  <c r="O47" i="98"/>
  <c r="M47" i="98"/>
  <c r="U46" i="98"/>
  <c r="S46" i="98"/>
  <c r="Q46" i="98"/>
  <c r="O46" i="98"/>
  <c r="M46" i="98"/>
  <c r="U45" i="98"/>
  <c r="S45" i="98"/>
  <c r="Q45" i="98"/>
  <c r="O45" i="98"/>
  <c r="M45" i="98"/>
  <c r="U44" i="98"/>
  <c r="S44" i="98"/>
  <c r="Q44" i="98"/>
  <c r="O44" i="98"/>
  <c r="M44" i="98"/>
  <c r="U43" i="98"/>
  <c r="S43" i="98"/>
  <c r="Q43" i="98"/>
  <c r="O43" i="98"/>
  <c r="M43" i="98"/>
  <c r="U42" i="98"/>
  <c r="S42" i="98"/>
  <c r="Q42" i="98"/>
  <c r="O42" i="98"/>
  <c r="M42" i="98"/>
  <c r="U41" i="98"/>
  <c r="S41" i="98"/>
  <c r="Q41" i="98"/>
  <c r="O41" i="98"/>
  <c r="M41" i="98"/>
  <c r="U40" i="98"/>
  <c r="S40" i="98"/>
  <c r="Q40" i="98"/>
  <c r="O40" i="98"/>
  <c r="M40" i="98"/>
  <c r="U39" i="98"/>
  <c r="S39" i="98"/>
  <c r="Q39" i="98"/>
  <c r="O39" i="98"/>
  <c r="M39" i="98"/>
  <c r="U38" i="98"/>
  <c r="S38" i="98"/>
  <c r="Q38" i="98"/>
  <c r="P26" i="98"/>
  <c r="N26" i="98"/>
  <c r="L26" i="98"/>
  <c r="P34" i="98"/>
  <c r="N34" i="98"/>
  <c r="L34" i="98"/>
  <c r="V4" i="98"/>
  <c r="X4" i="98" s="1"/>
  <c r="V5" i="98"/>
  <c r="X5" i="98" s="1"/>
  <c r="V6" i="98"/>
  <c r="X6" i="98" s="1"/>
  <c r="V7" i="98"/>
  <c r="X7" i="98" s="1"/>
  <c r="O8" i="98"/>
  <c r="Q8" i="98"/>
  <c r="V9" i="98"/>
  <c r="X9" i="98" s="1"/>
  <c r="W11" i="98"/>
  <c r="Y11" i="98" s="1"/>
  <c r="W12" i="98"/>
  <c r="Y12" i="98" s="1"/>
  <c r="W13" i="98"/>
  <c r="Y13" i="98" s="1"/>
  <c r="M4" i="98"/>
  <c r="O4" i="98"/>
  <c r="Q4" i="98"/>
  <c r="S4" i="98"/>
  <c r="U4" i="98"/>
  <c r="M5" i="98"/>
  <c r="O5" i="98"/>
  <c r="Q5" i="98"/>
  <c r="S5" i="98"/>
  <c r="U5" i="98"/>
  <c r="M6" i="98"/>
  <c r="O6" i="98"/>
  <c r="Q6" i="98"/>
  <c r="S6" i="98"/>
  <c r="U6" i="98"/>
  <c r="M7" i="98"/>
  <c r="O7" i="98"/>
  <c r="Q7" i="98"/>
  <c r="S7" i="98"/>
  <c r="U7" i="98"/>
  <c r="L8" i="98"/>
  <c r="N8" i="98"/>
  <c r="P8" i="98"/>
  <c r="R8" i="98"/>
  <c r="T8" i="98"/>
  <c r="M9" i="98"/>
  <c r="O9" i="98"/>
  <c r="S9" i="98"/>
  <c r="U9" i="98"/>
  <c r="L10" i="98"/>
  <c r="N10" i="98"/>
  <c r="P10" i="98"/>
  <c r="R10" i="98"/>
  <c r="T10" i="98"/>
  <c r="L11" i="98"/>
  <c r="N11" i="98"/>
  <c r="P11" i="98"/>
  <c r="R11" i="98"/>
  <c r="T11" i="98"/>
  <c r="L12" i="98"/>
  <c r="N12" i="98"/>
  <c r="P12" i="98"/>
  <c r="R12" i="98"/>
  <c r="T12" i="98"/>
  <c r="L13" i="98"/>
  <c r="N13" i="98"/>
  <c r="P13" i="98"/>
  <c r="R13" i="98"/>
  <c r="T13" i="98"/>
  <c r="L14" i="98"/>
  <c r="N14" i="98"/>
  <c r="P14" i="98"/>
  <c r="R14" i="98"/>
  <c r="T14" i="98"/>
  <c r="L15" i="98"/>
  <c r="N15" i="98"/>
  <c r="P15" i="98"/>
  <c r="R15" i="98"/>
  <c r="T15" i="98"/>
  <c r="L16" i="98"/>
  <c r="N16" i="98"/>
  <c r="P16" i="98"/>
  <c r="R16" i="98"/>
  <c r="T16" i="98"/>
  <c r="L17" i="98"/>
  <c r="N17" i="98"/>
  <c r="P17" i="98"/>
  <c r="R17" i="98"/>
  <c r="T17" i="98"/>
  <c r="L18" i="98"/>
  <c r="N18" i="98"/>
  <c r="P18" i="98"/>
  <c r="R18" i="98"/>
  <c r="T18" i="98"/>
  <c r="L19" i="98"/>
  <c r="N19" i="98"/>
  <c r="P19" i="98"/>
  <c r="R19" i="98"/>
  <c r="T19" i="98"/>
  <c r="L20" i="98"/>
  <c r="N20" i="98"/>
  <c r="P20" i="98"/>
  <c r="R20" i="98"/>
  <c r="T20" i="98"/>
  <c r="M21" i="98"/>
  <c r="O21" i="98"/>
  <c r="S21" i="98"/>
  <c r="U21" i="98"/>
  <c r="L22" i="98"/>
  <c r="N22" i="98"/>
  <c r="P22" i="98"/>
  <c r="R22" i="98"/>
  <c r="T22" i="98"/>
  <c r="L23" i="98"/>
  <c r="N23" i="98"/>
  <c r="P23" i="98"/>
  <c r="R23" i="98"/>
  <c r="T23" i="98"/>
  <c r="M24" i="98"/>
  <c r="O24" i="98"/>
  <c r="S24" i="98"/>
  <c r="U24" i="98"/>
  <c r="Q25" i="98"/>
  <c r="N25" i="98"/>
  <c r="R25" i="98"/>
  <c r="O26" i="98"/>
  <c r="S26" i="98"/>
  <c r="M27" i="98"/>
  <c r="Q27" i="98"/>
  <c r="U27" i="98"/>
  <c r="L28" i="98"/>
  <c r="P28" i="98"/>
  <c r="T28" i="98"/>
  <c r="M29" i="98"/>
  <c r="U29" i="98"/>
  <c r="L30" i="98"/>
  <c r="P30" i="98"/>
  <c r="T30" i="98"/>
  <c r="N31" i="98"/>
  <c r="R31" i="98"/>
  <c r="L32" i="98"/>
  <c r="P32" i="98"/>
  <c r="T32" i="98"/>
  <c r="N33" i="98"/>
  <c r="R33" i="98"/>
  <c r="O34" i="98"/>
  <c r="S34" i="98"/>
  <c r="M35" i="98"/>
  <c r="Q35" i="98"/>
  <c r="U35" i="98"/>
  <c r="O36" i="98"/>
  <c r="S36" i="98"/>
  <c r="M37" i="98"/>
  <c r="Q37" i="98"/>
  <c r="U37" i="98"/>
  <c r="O38" i="98"/>
  <c r="P29" i="98"/>
  <c r="N29" i="98"/>
  <c r="L29" i="98"/>
  <c r="W8" i="98"/>
  <c r="Y8" i="98" s="1"/>
  <c r="O10" i="98"/>
  <c r="Q10" i="98"/>
  <c r="W10" i="98"/>
  <c r="Y10" i="98" s="1"/>
  <c r="W14" i="98"/>
  <c r="Y14" i="98" s="1"/>
  <c r="W15" i="98"/>
  <c r="Y15" i="98" s="1"/>
  <c r="W16" i="98"/>
  <c r="Y16" i="98" s="1"/>
  <c r="M17" i="98"/>
  <c r="O17" i="98"/>
  <c r="Q17" i="98"/>
  <c r="S17" i="98"/>
  <c r="U17" i="98"/>
  <c r="M18" i="98"/>
  <c r="O18" i="98"/>
  <c r="Q18" i="98"/>
  <c r="S18" i="98"/>
  <c r="U18" i="98"/>
  <c r="M19" i="98"/>
  <c r="O19" i="98"/>
  <c r="Q19" i="98"/>
  <c r="S19" i="98"/>
  <c r="U19" i="98"/>
  <c r="M20" i="98"/>
  <c r="O20" i="98"/>
  <c r="Q20" i="98"/>
  <c r="S20" i="98"/>
  <c r="U20" i="98"/>
  <c r="L21" i="98"/>
  <c r="N21" i="98"/>
  <c r="P21" i="98"/>
  <c r="R21" i="98"/>
  <c r="T21" i="98"/>
  <c r="M22" i="98"/>
  <c r="O22" i="98"/>
  <c r="S22" i="98"/>
  <c r="U22" i="98"/>
  <c r="M23" i="98"/>
  <c r="O23" i="98"/>
  <c r="Q23" i="98"/>
  <c r="S23" i="98"/>
  <c r="U23" i="98"/>
  <c r="L24" i="98"/>
  <c r="N24" i="98"/>
  <c r="P24" i="98"/>
  <c r="R24" i="98"/>
  <c r="T24" i="98"/>
  <c r="L25" i="98"/>
  <c r="P25" i="98"/>
  <c r="T25" i="98"/>
  <c r="M26" i="98"/>
  <c r="Q26" i="98"/>
  <c r="U26" i="98"/>
  <c r="O27" i="98"/>
  <c r="S27" i="98"/>
  <c r="Q28" i="98"/>
  <c r="N28" i="98"/>
  <c r="R28" i="98"/>
  <c r="O29" i="98"/>
  <c r="S29" i="98"/>
  <c r="Q30" i="98"/>
  <c r="N30" i="98"/>
  <c r="R30" i="98"/>
  <c r="L31" i="98"/>
  <c r="P31" i="98"/>
  <c r="T31" i="98"/>
  <c r="N32" i="98"/>
  <c r="R32" i="98"/>
  <c r="L33" i="98"/>
  <c r="P33" i="98"/>
  <c r="T33" i="98"/>
  <c r="M34" i="98"/>
  <c r="Q34" i="98"/>
  <c r="U34" i="98"/>
  <c r="O35" i="98"/>
  <c r="S35" i="98"/>
  <c r="M36" i="98"/>
  <c r="Q36" i="98"/>
  <c r="U36" i="98"/>
  <c r="O37" i="98"/>
  <c r="S37" i="98"/>
  <c r="M38" i="98"/>
  <c r="Q53" i="98"/>
  <c r="O25" i="98"/>
  <c r="O28" i="98"/>
  <c r="O30" i="98"/>
  <c r="O53" i="98"/>
  <c r="R59" i="98" l="1"/>
  <c r="T59" i="98"/>
  <c r="W38" i="98"/>
  <c r="Y38" i="98" s="1"/>
  <c r="W34" i="98"/>
  <c r="Y34" i="98" s="1"/>
  <c r="V25" i="98"/>
  <c r="X25" i="98" s="1"/>
  <c r="W23" i="98"/>
  <c r="Y23" i="98" s="1"/>
  <c r="W20" i="98"/>
  <c r="Y20" i="98" s="1"/>
  <c r="W35" i="98"/>
  <c r="Y35" i="98" s="1"/>
  <c r="W29" i="98"/>
  <c r="Y29" i="98" s="1"/>
  <c r="W27" i="98"/>
  <c r="Y27" i="98" s="1"/>
  <c r="V23" i="98"/>
  <c r="X23" i="98" s="1"/>
  <c r="W36" i="98"/>
  <c r="Y36" i="98" s="1"/>
  <c r="V33" i="98"/>
  <c r="X33" i="98" s="1"/>
  <c r="W26" i="98"/>
  <c r="Y26" i="98" s="1"/>
  <c r="V24" i="98"/>
  <c r="X24" i="98" s="1"/>
  <c r="V21" i="98"/>
  <c r="X21" i="98" s="1"/>
  <c r="W19" i="98"/>
  <c r="Y19" i="98" s="1"/>
  <c r="W17" i="98"/>
  <c r="Y17" i="98" s="1"/>
  <c r="V29" i="98"/>
  <c r="X29" i="98" s="1"/>
  <c r="W37" i="98"/>
  <c r="Y37" i="98" s="1"/>
  <c r="V32" i="98"/>
  <c r="X32" i="98" s="1"/>
  <c r="V28" i="98"/>
  <c r="X28" i="98" s="1"/>
  <c r="W24" i="98"/>
  <c r="Y24" i="98" s="1"/>
  <c r="V22" i="98"/>
  <c r="X22" i="98" s="1"/>
  <c r="W21" i="98"/>
  <c r="Y21" i="98" s="1"/>
  <c r="V19" i="98"/>
  <c r="X19" i="98" s="1"/>
  <c r="V17" i="98"/>
  <c r="X17" i="98" s="1"/>
  <c r="V15" i="98"/>
  <c r="X15" i="98" s="1"/>
  <c r="V13" i="98"/>
  <c r="X13" i="98" s="1"/>
  <c r="V11" i="98"/>
  <c r="X11" i="98" s="1"/>
  <c r="V8" i="98"/>
  <c r="X8" i="98" s="1"/>
  <c r="W6" i="98"/>
  <c r="Y6" i="98" s="1"/>
  <c r="M59" i="98"/>
  <c r="W4" i="98"/>
  <c r="Y4" i="98" s="1"/>
  <c r="V34" i="98"/>
  <c r="X34" i="98" s="1"/>
  <c r="W40" i="98"/>
  <c r="Y40" i="98" s="1"/>
  <c r="W42" i="98"/>
  <c r="Y42" i="98" s="1"/>
  <c r="W44" i="98"/>
  <c r="Y44" i="98" s="1"/>
  <c r="W46" i="98"/>
  <c r="Y46" i="98" s="1"/>
  <c r="W48" i="98"/>
  <c r="Y48" i="98" s="1"/>
  <c r="W50" i="98"/>
  <c r="Y50" i="98" s="1"/>
  <c r="W52" i="98"/>
  <c r="Y52" i="98" s="1"/>
  <c r="V54" i="98"/>
  <c r="X54" i="98" s="1"/>
  <c r="W57" i="98"/>
  <c r="Y57" i="98" s="1"/>
  <c r="W25" i="98"/>
  <c r="Y25" i="98" s="1"/>
  <c r="W28" i="98"/>
  <c r="Y28" i="98" s="1"/>
  <c r="W31" i="98"/>
  <c r="Y31" i="98" s="1"/>
  <c r="W33" i="98"/>
  <c r="Y33" i="98" s="1"/>
  <c r="V36" i="98"/>
  <c r="X36" i="98" s="1"/>
  <c r="V38" i="98"/>
  <c r="X38" i="98" s="1"/>
  <c r="V40" i="98"/>
  <c r="X40" i="98" s="1"/>
  <c r="V42" i="98"/>
  <c r="X42" i="98" s="1"/>
  <c r="V44" i="98"/>
  <c r="X44" i="98" s="1"/>
  <c r="V46" i="98"/>
  <c r="X46" i="98" s="1"/>
  <c r="V48" i="98"/>
  <c r="X48" i="98" s="1"/>
  <c r="V50" i="98"/>
  <c r="X50" i="98" s="1"/>
  <c r="V52" i="98"/>
  <c r="X52" i="98" s="1"/>
  <c r="W54" i="98"/>
  <c r="Y54" i="98" s="1"/>
  <c r="V58" i="98"/>
  <c r="X58" i="98" s="1"/>
  <c r="V56" i="98"/>
  <c r="X56" i="98" s="1"/>
  <c r="U59" i="98"/>
  <c r="V31" i="98"/>
  <c r="X31" i="98" s="1"/>
  <c r="W22" i="98"/>
  <c r="Y22" i="98" s="1"/>
  <c r="W18" i="98"/>
  <c r="Y18" i="98" s="1"/>
  <c r="V30" i="98"/>
  <c r="X30" i="98" s="1"/>
  <c r="V20" i="98"/>
  <c r="X20" i="98" s="1"/>
  <c r="V18" i="98"/>
  <c r="X18" i="98" s="1"/>
  <c r="V16" i="98"/>
  <c r="X16" i="98" s="1"/>
  <c r="V14" i="98"/>
  <c r="X14" i="98" s="1"/>
  <c r="V12" i="98"/>
  <c r="X12" i="98" s="1"/>
  <c r="V10" i="98"/>
  <c r="X10" i="98" s="1"/>
  <c r="W9" i="98"/>
  <c r="Y9" i="98" s="1"/>
  <c r="W7" i="98"/>
  <c r="Y7" i="98" s="1"/>
  <c r="W5" i="98"/>
  <c r="Y5" i="98" s="1"/>
  <c r="P57" i="98"/>
  <c r="P59" i="98" s="1"/>
  <c r="N57" i="98"/>
  <c r="N59" i="98" s="1"/>
  <c r="L57" i="98"/>
  <c r="L59" i="98" s="1"/>
  <c r="Q57" i="98"/>
  <c r="Q59" i="98" s="1"/>
  <c r="O57" i="98"/>
  <c r="V26" i="98"/>
  <c r="X26" i="98" s="1"/>
  <c r="W39" i="98"/>
  <c r="Y39" i="98" s="1"/>
  <c r="W41" i="98"/>
  <c r="Y41" i="98" s="1"/>
  <c r="W43" i="98"/>
  <c r="Y43" i="98" s="1"/>
  <c r="W45" i="98"/>
  <c r="Y45" i="98" s="1"/>
  <c r="W47" i="98"/>
  <c r="Y47" i="98" s="1"/>
  <c r="W49" i="98"/>
  <c r="Y49" i="98" s="1"/>
  <c r="W51" i="98"/>
  <c r="Y51" i="98" s="1"/>
  <c r="V53" i="98"/>
  <c r="X53" i="98" s="1"/>
  <c r="W55" i="98"/>
  <c r="Y55" i="98" s="1"/>
  <c r="W58" i="98"/>
  <c r="Y58" i="98" s="1"/>
  <c r="V27" i="98"/>
  <c r="X27" i="98" s="1"/>
  <c r="W30" i="98"/>
  <c r="Y30" i="98" s="1"/>
  <c r="W32" i="98"/>
  <c r="Y32" i="98" s="1"/>
  <c r="V35" i="98"/>
  <c r="X35" i="98" s="1"/>
  <c r="V37" i="98"/>
  <c r="X37" i="98" s="1"/>
  <c r="V39" i="98"/>
  <c r="X39" i="98" s="1"/>
  <c r="V41" i="98"/>
  <c r="X41" i="98" s="1"/>
  <c r="V43" i="98"/>
  <c r="X43" i="98" s="1"/>
  <c r="V45" i="98"/>
  <c r="X45" i="98" s="1"/>
  <c r="V47" i="98"/>
  <c r="X47" i="98" s="1"/>
  <c r="V49" i="98"/>
  <c r="X49" i="98" s="1"/>
  <c r="V51" i="98"/>
  <c r="X51" i="98" s="1"/>
  <c r="W53" i="98"/>
  <c r="Y53" i="98" s="1"/>
  <c r="W56" i="98"/>
  <c r="Y56" i="98" s="1"/>
  <c r="V55" i="98"/>
  <c r="X55" i="98" s="1"/>
  <c r="S59" i="98"/>
  <c r="O59" i="98"/>
  <c r="Y59" i="98" l="1"/>
  <c r="D194" i="98"/>
  <c r="V57" i="98"/>
  <c r="X57" i="98" s="1"/>
  <c r="X59" i="98" s="1"/>
  <c r="D195" i="98"/>
  <c r="W59" i="98"/>
  <c r="V59" i="98" l="1"/>
  <c r="B192" i="97" l="1"/>
  <c r="A2" i="97"/>
  <c r="P28" i="97" s="1"/>
  <c r="P9" i="97" l="1"/>
  <c r="P4" i="97"/>
  <c r="P7" i="97"/>
  <c r="P26" i="97"/>
  <c r="P31" i="97"/>
  <c r="Q5" i="97"/>
  <c r="P8" i="97"/>
  <c r="P10" i="97"/>
  <c r="Q27" i="97"/>
  <c r="Q29" i="97"/>
  <c r="M4" i="97"/>
  <c r="O4" i="97"/>
  <c r="Q4" i="97"/>
  <c r="S4" i="97"/>
  <c r="U4" i="97"/>
  <c r="L5" i="97"/>
  <c r="N5" i="97"/>
  <c r="P5" i="97"/>
  <c r="R5" i="97"/>
  <c r="T5" i="97"/>
  <c r="M6" i="97"/>
  <c r="W6" i="97" s="1"/>
  <c r="O6" i="97"/>
  <c r="Q6" i="97"/>
  <c r="S6" i="97"/>
  <c r="U6" i="97"/>
  <c r="M7" i="97"/>
  <c r="W7" i="97" s="1"/>
  <c r="O7" i="97"/>
  <c r="Q7" i="97"/>
  <c r="S7" i="97"/>
  <c r="U7" i="97"/>
  <c r="M8" i="97"/>
  <c r="W8" i="97" s="1"/>
  <c r="O8" i="97"/>
  <c r="Q8" i="97"/>
  <c r="S8" i="97"/>
  <c r="U8" i="97"/>
  <c r="M9" i="97"/>
  <c r="W9" i="97" s="1"/>
  <c r="O9" i="97"/>
  <c r="Q9" i="97"/>
  <c r="S9" i="97"/>
  <c r="U9" i="97"/>
  <c r="M10" i="97"/>
  <c r="W10" i="97" s="1"/>
  <c r="O10" i="97"/>
  <c r="Q10" i="97"/>
  <c r="S10" i="97"/>
  <c r="U10" i="97"/>
  <c r="M11" i="97"/>
  <c r="W11" i="97" s="1"/>
  <c r="S11" i="97"/>
  <c r="U11" i="97"/>
  <c r="M12" i="97"/>
  <c r="W12" i="97" s="1"/>
  <c r="S12" i="97"/>
  <c r="U12" i="97"/>
  <c r="M13" i="97"/>
  <c r="W13" i="97" s="1"/>
  <c r="S13" i="97"/>
  <c r="U13" i="97"/>
  <c r="M14" i="97"/>
  <c r="W14" i="97" s="1"/>
  <c r="S14" i="97"/>
  <c r="U14" i="97"/>
  <c r="L15" i="97"/>
  <c r="N15" i="97"/>
  <c r="P15" i="97"/>
  <c r="R15" i="97"/>
  <c r="T15" i="97"/>
  <c r="M16" i="97"/>
  <c r="W16" i="97" s="1"/>
  <c r="O16" i="97"/>
  <c r="Q16" i="97"/>
  <c r="S16" i="97"/>
  <c r="U16" i="97"/>
  <c r="M17" i="97"/>
  <c r="W17" i="97" s="1"/>
  <c r="S17" i="97"/>
  <c r="U17" i="97"/>
  <c r="M18" i="97"/>
  <c r="W18" i="97" s="1"/>
  <c r="S18" i="97"/>
  <c r="U18" i="97"/>
  <c r="M19" i="97"/>
  <c r="W19" i="97" s="1"/>
  <c r="S19" i="97"/>
  <c r="U19" i="97"/>
  <c r="M20" i="97"/>
  <c r="W20" i="97" s="1"/>
  <c r="S20" i="97"/>
  <c r="U20" i="97"/>
  <c r="M21" i="97"/>
  <c r="W21" i="97" s="1"/>
  <c r="S21" i="97"/>
  <c r="U21" i="97"/>
  <c r="M22" i="97"/>
  <c r="W22" i="97" s="1"/>
  <c r="S22" i="97"/>
  <c r="U22" i="97"/>
  <c r="M23" i="97"/>
  <c r="W23" i="97" s="1"/>
  <c r="S23" i="97"/>
  <c r="U23" i="97"/>
  <c r="M24" i="97"/>
  <c r="W24" i="97" s="1"/>
  <c r="S24" i="97"/>
  <c r="U24" i="97"/>
  <c r="L25" i="97"/>
  <c r="N25" i="97"/>
  <c r="P25" i="97"/>
  <c r="R25" i="97"/>
  <c r="T25" i="97"/>
  <c r="M26" i="97"/>
  <c r="O26" i="97"/>
  <c r="Q26" i="97"/>
  <c r="S26" i="97"/>
  <c r="U26" i="97"/>
  <c r="L27" i="97"/>
  <c r="N27" i="97"/>
  <c r="P27" i="97"/>
  <c r="R27" i="97"/>
  <c r="T27" i="97"/>
  <c r="M28" i="97"/>
  <c r="O28" i="97"/>
  <c r="Q28" i="97"/>
  <c r="S28" i="97"/>
  <c r="U28" i="97"/>
  <c r="L29" i="97"/>
  <c r="N29" i="97"/>
  <c r="P29" i="97"/>
  <c r="R29" i="97"/>
  <c r="T29" i="97"/>
  <c r="L30" i="97"/>
  <c r="N30" i="97"/>
  <c r="P30" i="97"/>
  <c r="R30" i="97"/>
  <c r="T30" i="97"/>
  <c r="M31" i="97"/>
  <c r="O31" i="97"/>
  <c r="Q31" i="97"/>
  <c r="S31" i="97"/>
  <c r="U31" i="97"/>
  <c r="M32" i="97"/>
  <c r="W32" i="97" s="1"/>
  <c r="O32" i="97"/>
  <c r="Q32" i="97"/>
  <c r="S32" i="97"/>
  <c r="U32" i="97"/>
  <c r="L4" i="97"/>
  <c r="N4" i="97"/>
  <c r="R4" i="97"/>
  <c r="T4" i="97"/>
  <c r="M5" i="97"/>
  <c r="W5" i="97" s="1"/>
  <c r="O5" i="97"/>
  <c r="S5" i="97"/>
  <c r="U5" i="97"/>
  <c r="L6" i="97"/>
  <c r="N6" i="97"/>
  <c r="P6" i="97"/>
  <c r="R6" i="97"/>
  <c r="T6" i="97"/>
  <c r="L7" i="97"/>
  <c r="N7" i="97"/>
  <c r="R7" i="97"/>
  <c r="T7" i="97"/>
  <c r="L8" i="97"/>
  <c r="N8" i="97"/>
  <c r="R8" i="97"/>
  <c r="T8" i="97"/>
  <c r="L9" i="97"/>
  <c r="N9" i="97"/>
  <c r="R9" i="97"/>
  <c r="T9" i="97"/>
  <c r="L10" i="97"/>
  <c r="N10" i="97"/>
  <c r="R10" i="97"/>
  <c r="T10" i="97"/>
  <c r="R11" i="97"/>
  <c r="T11" i="97"/>
  <c r="R12" i="97"/>
  <c r="T12" i="97"/>
  <c r="R13" i="97"/>
  <c r="T13" i="97"/>
  <c r="R14" i="97"/>
  <c r="T14" i="97"/>
  <c r="M15" i="97"/>
  <c r="W15" i="97" s="1"/>
  <c r="O15" i="97"/>
  <c r="Q15" i="97"/>
  <c r="S15" i="97"/>
  <c r="U15" i="97"/>
  <c r="L16" i="97"/>
  <c r="N16" i="97"/>
  <c r="P16" i="97"/>
  <c r="R16" i="97"/>
  <c r="T16" i="97"/>
  <c r="R17" i="97"/>
  <c r="T17" i="97"/>
  <c r="R18" i="97"/>
  <c r="T18" i="97"/>
  <c r="R19" i="97"/>
  <c r="T19" i="97"/>
  <c r="R20" i="97"/>
  <c r="T20" i="97"/>
  <c r="R21" i="97"/>
  <c r="T21" i="97"/>
  <c r="R22" i="97"/>
  <c r="T22" i="97"/>
  <c r="R23" i="97"/>
  <c r="T23" i="97"/>
  <c r="R24" i="97"/>
  <c r="T24" i="97"/>
  <c r="M25" i="97"/>
  <c r="O25" i="97"/>
  <c r="Q25" i="97"/>
  <c r="S25" i="97"/>
  <c r="U25" i="97"/>
  <c r="L26" i="97"/>
  <c r="N26" i="97"/>
  <c r="R26" i="97"/>
  <c r="T26" i="97"/>
  <c r="M27" i="97"/>
  <c r="O27" i="97"/>
  <c r="S27" i="97"/>
  <c r="U27" i="97"/>
  <c r="L28" i="97"/>
  <c r="N28" i="97"/>
  <c r="R28" i="97"/>
  <c r="T28" i="97"/>
  <c r="M29" i="97"/>
  <c r="O29" i="97"/>
  <c r="S29" i="97"/>
  <c r="U29" i="97"/>
  <c r="M30" i="97"/>
  <c r="O30" i="97"/>
  <c r="Q30" i="97"/>
  <c r="S30" i="97"/>
  <c r="U30" i="97"/>
  <c r="L31" i="97"/>
  <c r="N31" i="97"/>
  <c r="R31" i="97"/>
  <c r="T31" i="97"/>
  <c r="L32" i="97"/>
  <c r="N32" i="97"/>
  <c r="P32" i="97"/>
  <c r="R32" i="97"/>
  <c r="T32" i="97"/>
  <c r="V32" i="97" l="1"/>
  <c r="X32" i="97" s="1"/>
  <c r="W25" i="97"/>
  <c r="Y25" i="97" s="1"/>
  <c r="V9" i="97"/>
  <c r="X9" i="97" s="1"/>
  <c r="V7" i="97"/>
  <c r="X7" i="97" s="1"/>
  <c r="W30" i="97"/>
  <c r="Y30" i="97" s="1"/>
  <c r="W29" i="97"/>
  <c r="Y29" i="97" s="1"/>
  <c r="V28" i="97"/>
  <c r="X28" i="97" s="1"/>
  <c r="W27" i="97"/>
  <c r="Y27" i="97" s="1"/>
  <c r="V26" i="97"/>
  <c r="X26" i="97" s="1"/>
  <c r="V16" i="97"/>
  <c r="X16" i="97" s="1"/>
  <c r="V6" i="97"/>
  <c r="X6" i="97" s="1"/>
  <c r="V4" i="97"/>
  <c r="W31" i="97"/>
  <c r="Y31" i="97" s="1"/>
  <c r="V29" i="97"/>
  <c r="X29" i="97" s="1"/>
  <c r="V27" i="97"/>
  <c r="X27" i="97" s="1"/>
  <c r="V25" i="97"/>
  <c r="X25" i="97" s="1"/>
  <c r="P24" i="97"/>
  <c r="N24" i="97"/>
  <c r="L24" i="97"/>
  <c r="Q24" i="97"/>
  <c r="O24" i="97"/>
  <c r="P23" i="97"/>
  <c r="N23" i="97"/>
  <c r="L23" i="97"/>
  <c r="Q23" i="97"/>
  <c r="O23" i="97"/>
  <c r="P22" i="97"/>
  <c r="N22" i="97"/>
  <c r="L22" i="97"/>
  <c r="Q22" i="97"/>
  <c r="O22" i="97"/>
  <c r="P21" i="97"/>
  <c r="N21" i="97"/>
  <c r="L21" i="97"/>
  <c r="Q21" i="97"/>
  <c r="O21" i="97"/>
  <c r="P20" i="97"/>
  <c r="N20" i="97"/>
  <c r="L20" i="97"/>
  <c r="Q20" i="97"/>
  <c r="O20" i="97"/>
  <c r="P19" i="97"/>
  <c r="N19" i="97"/>
  <c r="L19" i="97"/>
  <c r="Q19" i="97"/>
  <c r="O19" i="97"/>
  <c r="P18" i="97"/>
  <c r="N18" i="97"/>
  <c r="L18" i="97"/>
  <c r="Q18" i="97"/>
  <c r="O18" i="97"/>
  <c r="P17" i="97"/>
  <c r="N17" i="97"/>
  <c r="L17" i="97"/>
  <c r="Q17" i="97"/>
  <c r="O17" i="97"/>
  <c r="V15" i="97"/>
  <c r="X15" i="97" s="1"/>
  <c r="P14" i="97"/>
  <c r="N14" i="97"/>
  <c r="L14" i="97"/>
  <c r="Q14" i="97"/>
  <c r="O14" i="97"/>
  <c r="P13" i="97"/>
  <c r="N13" i="97"/>
  <c r="L13" i="97"/>
  <c r="Q13" i="97"/>
  <c r="O13" i="97"/>
  <c r="P12" i="97"/>
  <c r="N12" i="97"/>
  <c r="L12" i="97"/>
  <c r="Q12" i="97"/>
  <c r="O12" i="97"/>
  <c r="P11" i="97"/>
  <c r="N11" i="97"/>
  <c r="L11" i="97"/>
  <c r="Q11" i="97"/>
  <c r="O11" i="97"/>
  <c r="V5" i="97"/>
  <c r="X5" i="97" s="1"/>
  <c r="R33" i="97"/>
  <c r="S33" i="97"/>
  <c r="V31" i="97"/>
  <c r="X31" i="97" s="1"/>
  <c r="V10" i="97"/>
  <c r="X10" i="97" s="1"/>
  <c r="V8" i="97"/>
  <c r="X8" i="97" s="1"/>
  <c r="V30" i="97"/>
  <c r="X30" i="97" s="1"/>
  <c r="W28" i="97"/>
  <c r="Y28" i="97" s="1"/>
  <c r="W26" i="97"/>
  <c r="Y26" i="97" s="1"/>
  <c r="M33" i="97"/>
  <c r="W4" i="97"/>
  <c r="Y4" i="97" s="1"/>
  <c r="T33" i="97"/>
  <c r="U33" i="97"/>
  <c r="Q33" i="97" l="1"/>
  <c r="O33" i="97"/>
  <c r="P33" i="97"/>
  <c r="N33" i="97"/>
  <c r="V11" i="97"/>
  <c r="X11" i="97" s="1"/>
  <c r="V13" i="97"/>
  <c r="X13" i="97" s="1"/>
  <c r="V17" i="97"/>
  <c r="X17" i="97" s="1"/>
  <c r="V19" i="97"/>
  <c r="X19" i="97" s="1"/>
  <c r="V21" i="97"/>
  <c r="X21" i="97" s="1"/>
  <c r="V23" i="97"/>
  <c r="X23" i="97" s="1"/>
  <c r="V12" i="97"/>
  <c r="X12" i="97" s="1"/>
  <c r="V14" i="97"/>
  <c r="X14" i="97" s="1"/>
  <c r="V18" i="97"/>
  <c r="X18" i="97" s="1"/>
  <c r="V20" i="97"/>
  <c r="X20" i="97" s="1"/>
  <c r="V22" i="97"/>
  <c r="X22" i="97" s="1"/>
  <c r="V24" i="97"/>
  <c r="X24" i="97" s="1"/>
  <c r="Y33" i="97"/>
  <c r="L33" i="97"/>
  <c r="W33" i="97"/>
  <c r="X4" i="97"/>
  <c r="V33" i="97" l="1"/>
  <c r="X33" i="97"/>
  <c r="B188" i="95" l="1"/>
  <c r="A2" i="95"/>
  <c r="T8" i="95" s="1"/>
  <c r="Q4" i="95" l="1"/>
  <c r="Q5" i="95"/>
  <c r="M4" i="95"/>
  <c r="O4" i="95"/>
  <c r="S4" i="95"/>
  <c r="U4" i="95"/>
  <c r="L5" i="95"/>
  <c r="N5" i="95"/>
  <c r="P5" i="95"/>
  <c r="R5" i="95"/>
  <c r="T5" i="95"/>
  <c r="L6" i="95"/>
  <c r="N6" i="95"/>
  <c r="P6" i="95"/>
  <c r="R6" i="95"/>
  <c r="T6" i="95"/>
  <c r="L7" i="95"/>
  <c r="N7" i="95"/>
  <c r="P7" i="95"/>
  <c r="R7" i="95"/>
  <c r="T7" i="95"/>
  <c r="M8" i="95"/>
  <c r="S8" i="95"/>
  <c r="U8" i="95"/>
  <c r="L4" i="95"/>
  <c r="N4" i="95"/>
  <c r="P4" i="95"/>
  <c r="R4" i="95"/>
  <c r="T4" i="95"/>
  <c r="M5" i="95"/>
  <c r="O5" i="95"/>
  <c r="S5" i="95"/>
  <c r="U5" i="95"/>
  <c r="M6" i="95"/>
  <c r="O6" i="95"/>
  <c r="Q6" i="95"/>
  <c r="S6" i="95"/>
  <c r="U6" i="95"/>
  <c r="M7" i="95"/>
  <c r="O7" i="95"/>
  <c r="Q7" i="95"/>
  <c r="S7" i="95"/>
  <c r="U7" i="95"/>
  <c r="R8" i="95"/>
  <c r="W6" i="95" l="1"/>
  <c r="Y6" i="95" s="1"/>
  <c r="W8" i="95"/>
  <c r="Y8" i="95" s="1"/>
  <c r="V7" i="95"/>
  <c r="X7" i="95" s="1"/>
  <c r="V5" i="95"/>
  <c r="X5" i="95" s="1"/>
  <c r="M9" i="95"/>
  <c r="W4" i="95"/>
  <c r="W7" i="95"/>
  <c r="Y7" i="95" s="1"/>
  <c r="V4" i="95"/>
  <c r="X4" i="95" s="1"/>
  <c r="P8" i="95"/>
  <c r="P9" i="95" s="1"/>
  <c r="N8" i="95"/>
  <c r="N9" i="95" s="1"/>
  <c r="L8" i="95"/>
  <c r="Q8" i="95"/>
  <c r="Q9" i="95" s="1"/>
  <c r="O8" i="95"/>
  <c r="O9" i="95" s="1"/>
  <c r="V6" i="95"/>
  <c r="X6" i="95" s="1"/>
  <c r="R9" i="95"/>
  <c r="S9" i="95"/>
  <c r="T9" i="95"/>
  <c r="U9" i="95"/>
  <c r="W5" i="95"/>
  <c r="Y5" i="95" s="1"/>
  <c r="W9" i="95" l="1"/>
  <c r="V8" i="95"/>
  <c r="X8" i="95" s="1"/>
  <c r="X9" i="95" s="1"/>
  <c r="L9" i="95"/>
  <c r="Y4" i="95"/>
  <c r="Y9" i="95" s="1"/>
  <c r="V9" i="95" l="1"/>
  <c r="B200" i="94"/>
  <c r="A200" i="94"/>
  <c r="C19" i="94" s="1"/>
  <c r="D19" i="94" s="1"/>
  <c r="E19" i="94" s="1"/>
  <c r="F19" i="94" s="1"/>
  <c r="G19" i="94" s="1"/>
  <c r="H19" i="94" s="1"/>
  <c r="I19" i="94" s="1"/>
  <c r="J19" i="94" s="1"/>
  <c r="K19" i="94" s="1"/>
  <c r="L19" i="94" s="1"/>
  <c r="M19" i="94" s="1"/>
  <c r="N19" i="94" s="1"/>
  <c r="C17" i="94"/>
  <c r="D17" i="94" s="1"/>
  <c r="E17" i="94" s="1"/>
  <c r="F17" i="94" s="1"/>
  <c r="G17" i="94" s="1"/>
  <c r="H17" i="94" s="1"/>
  <c r="I17" i="94" s="1"/>
  <c r="J17" i="94" s="1"/>
  <c r="K17" i="94" s="1"/>
  <c r="L17" i="94" s="1"/>
  <c r="M17" i="94" s="1"/>
  <c r="N17" i="94" s="1"/>
  <c r="C14" i="94"/>
  <c r="D14" i="94" s="1"/>
  <c r="E14" i="94" s="1"/>
  <c r="F14" i="94" s="1"/>
  <c r="G14" i="94" s="1"/>
  <c r="H14" i="94" s="1"/>
  <c r="I14" i="94" s="1"/>
  <c r="J14" i="94" s="1"/>
  <c r="K14" i="94" s="1"/>
  <c r="L14" i="94" s="1"/>
  <c r="M14" i="94" s="1"/>
  <c r="N14" i="94" s="1"/>
  <c r="C13" i="94"/>
  <c r="D13" i="94" s="1"/>
  <c r="E13" i="94" s="1"/>
  <c r="F13" i="94" s="1"/>
  <c r="G13" i="94" s="1"/>
  <c r="H13" i="94" s="1"/>
  <c r="I13" i="94" s="1"/>
  <c r="J13" i="94" s="1"/>
  <c r="K13" i="94" s="1"/>
  <c r="L13" i="94" s="1"/>
  <c r="M13" i="94" s="1"/>
  <c r="N13" i="94" s="1"/>
  <c r="C10" i="94"/>
  <c r="D10" i="94" s="1"/>
  <c r="E10" i="94" s="1"/>
  <c r="F10" i="94" s="1"/>
  <c r="G10" i="94" s="1"/>
  <c r="H10" i="94" s="1"/>
  <c r="I10" i="94" s="1"/>
  <c r="J10" i="94" s="1"/>
  <c r="K10" i="94" s="1"/>
  <c r="L10" i="94" s="1"/>
  <c r="M10" i="94" s="1"/>
  <c r="N10" i="94" s="1"/>
  <c r="C9" i="94"/>
  <c r="D9" i="94" s="1"/>
  <c r="E9" i="94" s="1"/>
  <c r="F9" i="94" s="1"/>
  <c r="G9" i="94" s="1"/>
  <c r="H9" i="94" s="1"/>
  <c r="I9" i="94" s="1"/>
  <c r="J9" i="94" s="1"/>
  <c r="K9" i="94" s="1"/>
  <c r="L9" i="94" s="1"/>
  <c r="M9" i="94" s="1"/>
  <c r="N9" i="94" s="1"/>
  <c r="C6" i="94"/>
  <c r="D6" i="94" s="1"/>
  <c r="E6" i="94" s="1"/>
  <c r="F6" i="94" s="1"/>
  <c r="G6" i="94" s="1"/>
  <c r="H6" i="94" s="1"/>
  <c r="I6" i="94" s="1"/>
  <c r="J6" i="94" s="1"/>
  <c r="K6" i="94" s="1"/>
  <c r="L6" i="94" s="1"/>
  <c r="M6" i="94" s="1"/>
  <c r="N6" i="94" s="1"/>
  <c r="C5" i="94"/>
  <c r="D5" i="94" s="1"/>
  <c r="E5" i="94" s="1"/>
  <c r="L37" i="13"/>
  <c r="M37" i="13"/>
  <c r="N37" i="13"/>
  <c r="K37" i="13"/>
  <c r="J37" i="13"/>
  <c r="I37" i="13"/>
  <c r="H37" i="13"/>
  <c r="G37" i="13"/>
  <c r="F37" i="13"/>
  <c r="E37" i="13"/>
  <c r="D37" i="13"/>
  <c r="C37" i="13"/>
  <c r="C8" i="94" l="1"/>
  <c r="D8" i="94" s="1"/>
  <c r="E8" i="94" s="1"/>
  <c r="F8" i="94" s="1"/>
  <c r="G8" i="94" s="1"/>
  <c r="H8" i="94" s="1"/>
  <c r="I8" i="94" s="1"/>
  <c r="J8" i="94" s="1"/>
  <c r="K8" i="94" s="1"/>
  <c r="L8" i="94" s="1"/>
  <c r="M8" i="94" s="1"/>
  <c r="N8" i="94" s="1"/>
  <c r="C12" i="94"/>
  <c r="D12" i="94" s="1"/>
  <c r="E12" i="94" s="1"/>
  <c r="F12" i="94" s="1"/>
  <c r="G12" i="94" s="1"/>
  <c r="H12" i="94" s="1"/>
  <c r="I12" i="94" s="1"/>
  <c r="J12" i="94" s="1"/>
  <c r="K12" i="94" s="1"/>
  <c r="L12" i="94" s="1"/>
  <c r="M12" i="94" s="1"/>
  <c r="N12" i="94" s="1"/>
  <c r="C16" i="94"/>
  <c r="D16" i="94" s="1"/>
  <c r="E16" i="94" s="1"/>
  <c r="F16" i="94" s="1"/>
  <c r="G16" i="94" s="1"/>
  <c r="H16" i="94" s="1"/>
  <c r="I16" i="94" s="1"/>
  <c r="J16" i="94" s="1"/>
  <c r="K16" i="94" s="1"/>
  <c r="L16" i="94" s="1"/>
  <c r="M16" i="94" s="1"/>
  <c r="N16" i="94" s="1"/>
  <c r="C20" i="94"/>
  <c r="D20" i="94" s="1"/>
  <c r="E20" i="94" s="1"/>
  <c r="F20" i="94" s="1"/>
  <c r="G20" i="94" s="1"/>
  <c r="H20" i="94" s="1"/>
  <c r="I20" i="94" s="1"/>
  <c r="J20" i="94" s="1"/>
  <c r="K20" i="94" s="1"/>
  <c r="L20" i="94" s="1"/>
  <c r="M20" i="94" s="1"/>
  <c r="N20" i="94" s="1"/>
  <c r="C18" i="94"/>
  <c r="D18" i="94" s="1"/>
  <c r="E18" i="94" s="1"/>
  <c r="F18" i="94" s="1"/>
  <c r="G18" i="94" s="1"/>
  <c r="H18" i="94" s="1"/>
  <c r="I18" i="94" s="1"/>
  <c r="J18" i="94" s="1"/>
  <c r="K18" i="94" s="1"/>
  <c r="L18" i="94" s="1"/>
  <c r="M18" i="94" s="1"/>
  <c r="N18" i="94" s="1"/>
  <c r="C7" i="94"/>
  <c r="D7" i="94" s="1"/>
  <c r="E7" i="94" s="1"/>
  <c r="F7" i="94" s="1"/>
  <c r="G7" i="94" s="1"/>
  <c r="H7" i="94" s="1"/>
  <c r="I7" i="94" s="1"/>
  <c r="J7" i="94" s="1"/>
  <c r="K7" i="94" s="1"/>
  <c r="L7" i="94" s="1"/>
  <c r="M7" i="94" s="1"/>
  <c r="N7" i="94" s="1"/>
  <c r="C11" i="94"/>
  <c r="D11" i="94" s="1"/>
  <c r="E11" i="94" s="1"/>
  <c r="F11" i="94" s="1"/>
  <c r="G11" i="94" s="1"/>
  <c r="H11" i="94" s="1"/>
  <c r="I11" i="94" s="1"/>
  <c r="J11" i="94" s="1"/>
  <c r="K11" i="94" s="1"/>
  <c r="L11" i="94" s="1"/>
  <c r="M11" i="94" s="1"/>
  <c r="N11" i="94" s="1"/>
  <c r="C15" i="94"/>
  <c r="D15" i="94" s="1"/>
  <c r="E15" i="94" s="1"/>
  <c r="F15" i="94" s="1"/>
  <c r="G15" i="94" s="1"/>
  <c r="H15" i="94" s="1"/>
  <c r="I15" i="94" s="1"/>
  <c r="J15" i="94" s="1"/>
  <c r="K15" i="94" s="1"/>
  <c r="L15" i="94" s="1"/>
  <c r="M15" i="94" s="1"/>
  <c r="N15" i="94" s="1"/>
  <c r="C36" i="94"/>
  <c r="D36" i="94" s="1"/>
  <c r="E36" i="94" s="1"/>
  <c r="F36" i="94" s="1"/>
  <c r="G36" i="94" s="1"/>
  <c r="H36" i="94" s="1"/>
  <c r="I36" i="94" s="1"/>
  <c r="J36" i="94" s="1"/>
  <c r="K36" i="94" s="1"/>
  <c r="L36" i="94" s="1"/>
  <c r="M36" i="94" s="1"/>
  <c r="N36" i="94" s="1"/>
  <c r="C21" i="94"/>
  <c r="D21" i="94" s="1"/>
  <c r="E21" i="94" s="1"/>
  <c r="F21" i="94" s="1"/>
  <c r="G21" i="94" s="1"/>
  <c r="H21" i="94" s="1"/>
  <c r="I21" i="94" s="1"/>
  <c r="J21" i="94" s="1"/>
  <c r="K21" i="94" s="1"/>
  <c r="L21" i="94" s="1"/>
  <c r="M21" i="94" s="1"/>
  <c r="N21" i="94" s="1"/>
  <c r="F5" i="94"/>
  <c r="C22" i="94"/>
  <c r="D22" i="94" s="1"/>
  <c r="E22" i="94" s="1"/>
  <c r="F22" i="94" s="1"/>
  <c r="G22" i="94" s="1"/>
  <c r="H22" i="94" s="1"/>
  <c r="I22" i="94" s="1"/>
  <c r="J22" i="94" s="1"/>
  <c r="K22" i="94" s="1"/>
  <c r="L22" i="94" s="1"/>
  <c r="M22" i="94" s="1"/>
  <c r="N22" i="94" s="1"/>
  <c r="C23" i="94"/>
  <c r="D23" i="94" s="1"/>
  <c r="E23" i="94" s="1"/>
  <c r="F23" i="94" s="1"/>
  <c r="G23" i="94" s="1"/>
  <c r="H23" i="94" s="1"/>
  <c r="I23" i="94" s="1"/>
  <c r="J23" i="94" s="1"/>
  <c r="K23" i="94" s="1"/>
  <c r="L23" i="94" s="1"/>
  <c r="M23" i="94" s="1"/>
  <c r="N23" i="94" s="1"/>
  <c r="C24" i="94"/>
  <c r="D24" i="94" s="1"/>
  <c r="E24" i="94" s="1"/>
  <c r="F24" i="94" s="1"/>
  <c r="G24" i="94" s="1"/>
  <c r="H24" i="94" s="1"/>
  <c r="I24" i="94" s="1"/>
  <c r="J24" i="94" s="1"/>
  <c r="K24" i="94" s="1"/>
  <c r="L24" i="94" s="1"/>
  <c r="M24" i="94" s="1"/>
  <c r="N24" i="94" s="1"/>
  <c r="C25" i="94"/>
  <c r="D25" i="94" s="1"/>
  <c r="E25" i="94" s="1"/>
  <c r="F25" i="94" s="1"/>
  <c r="G25" i="94" s="1"/>
  <c r="H25" i="94" s="1"/>
  <c r="I25" i="94" s="1"/>
  <c r="J25" i="94" s="1"/>
  <c r="K25" i="94" s="1"/>
  <c r="L25" i="94" s="1"/>
  <c r="M25" i="94" s="1"/>
  <c r="N25" i="94" s="1"/>
  <c r="C26" i="94"/>
  <c r="D26" i="94" s="1"/>
  <c r="E26" i="94" s="1"/>
  <c r="F26" i="94" s="1"/>
  <c r="G26" i="94" s="1"/>
  <c r="H26" i="94" s="1"/>
  <c r="I26" i="94" s="1"/>
  <c r="J26" i="94" s="1"/>
  <c r="K26" i="94" s="1"/>
  <c r="L26" i="94" s="1"/>
  <c r="M26" i="94" s="1"/>
  <c r="N26" i="94" s="1"/>
  <c r="C27" i="94"/>
  <c r="D27" i="94" s="1"/>
  <c r="E27" i="94" s="1"/>
  <c r="F27" i="94" s="1"/>
  <c r="G27" i="94" s="1"/>
  <c r="H27" i="94" s="1"/>
  <c r="I27" i="94" s="1"/>
  <c r="J27" i="94" s="1"/>
  <c r="K27" i="94" s="1"/>
  <c r="L27" i="94" s="1"/>
  <c r="M27" i="94" s="1"/>
  <c r="N27" i="94" s="1"/>
  <c r="C28" i="94"/>
  <c r="D28" i="94" s="1"/>
  <c r="E28" i="94" s="1"/>
  <c r="F28" i="94" s="1"/>
  <c r="G28" i="94" s="1"/>
  <c r="H28" i="94" s="1"/>
  <c r="I28" i="94" s="1"/>
  <c r="J28" i="94" s="1"/>
  <c r="K28" i="94" s="1"/>
  <c r="L28" i="94" s="1"/>
  <c r="M28" i="94" s="1"/>
  <c r="N28" i="94" s="1"/>
  <c r="C29" i="94"/>
  <c r="D29" i="94" s="1"/>
  <c r="E29" i="94" s="1"/>
  <c r="F29" i="94" s="1"/>
  <c r="G29" i="94" s="1"/>
  <c r="H29" i="94" s="1"/>
  <c r="I29" i="94" s="1"/>
  <c r="J29" i="94" s="1"/>
  <c r="K29" i="94" s="1"/>
  <c r="L29" i="94" s="1"/>
  <c r="M29" i="94" s="1"/>
  <c r="N29" i="94" s="1"/>
  <c r="C30" i="94"/>
  <c r="D30" i="94" s="1"/>
  <c r="E30" i="94" s="1"/>
  <c r="F30" i="94" s="1"/>
  <c r="G30" i="94" s="1"/>
  <c r="H30" i="94" s="1"/>
  <c r="I30" i="94" s="1"/>
  <c r="J30" i="94" s="1"/>
  <c r="K30" i="94" s="1"/>
  <c r="L30" i="94" s="1"/>
  <c r="M30" i="94" s="1"/>
  <c r="N30" i="94" s="1"/>
  <c r="C31" i="94"/>
  <c r="D31" i="94" s="1"/>
  <c r="E31" i="94" s="1"/>
  <c r="F31" i="94" s="1"/>
  <c r="G31" i="94" s="1"/>
  <c r="H31" i="94" s="1"/>
  <c r="I31" i="94" s="1"/>
  <c r="J31" i="94" s="1"/>
  <c r="K31" i="94" s="1"/>
  <c r="L31" i="94" s="1"/>
  <c r="M31" i="94" s="1"/>
  <c r="N31" i="94" s="1"/>
  <c r="C32" i="94"/>
  <c r="D32" i="94" s="1"/>
  <c r="E32" i="94" s="1"/>
  <c r="F32" i="94" s="1"/>
  <c r="G32" i="94" s="1"/>
  <c r="H32" i="94" s="1"/>
  <c r="I32" i="94" s="1"/>
  <c r="J32" i="94" s="1"/>
  <c r="K32" i="94" s="1"/>
  <c r="L32" i="94" s="1"/>
  <c r="M32" i="94" s="1"/>
  <c r="N32" i="94" s="1"/>
  <c r="C33" i="94"/>
  <c r="D33" i="94" s="1"/>
  <c r="E33" i="94" s="1"/>
  <c r="F33" i="94" s="1"/>
  <c r="G33" i="94" s="1"/>
  <c r="H33" i="94" s="1"/>
  <c r="I33" i="94" s="1"/>
  <c r="J33" i="94" s="1"/>
  <c r="K33" i="94" s="1"/>
  <c r="L33" i="94" s="1"/>
  <c r="M33" i="94" s="1"/>
  <c r="N33" i="94" s="1"/>
  <c r="C34" i="94"/>
  <c r="D34" i="94" s="1"/>
  <c r="E34" i="94" s="1"/>
  <c r="F34" i="94" s="1"/>
  <c r="G34" i="94" s="1"/>
  <c r="H34" i="94" s="1"/>
  <c r="I34" i="94" s="1"/>
  <c r="J34" i="94" s="1"/>
  <c r="K34" i="94" s="1"/>
  <c r="L34" i="94" s="1"/>
  <c r="M34" i="94" s="1"/>
  <c r="N34" i="94" s="1"/>
  <c r="C35" i="94"/>
  <c r="D35" i="94" s="1"/>
  <c r="E35" i="94" s="1"/>
  <c r="F35" i="94" s="1"/>
  <c r="G35" i="94" s="1"/>
  <c r="H35" i="94" s="1"/>
  <c r="I35" i="94" s="1"/>
  <c r="J35" i="94" s="1"/>
  <c r="K35" i="94" s="1"/>
  <c r="L35" i="94" s="1"/>
  <c r="M35" i="94" s="1"/>
  <c r="N35" i="94" s="1"/>
  <c r="G5" i="94" l="1"/>
  <c r="F37" i="94"/>
  <c r="D37" i="94"/>
  <c r="C37" i="94"/>
  <c r="E37" i="94"/>
  <c r="G37" i="94" l="1"/>
  <c r="H5" i="94"/>
  <c r="I5" i="94" l="1"/>
  <c r="H37" i="94"/>
  <c r="I37" i="94" l="1"/>
  <c r="J5" i="94"/>
  <c r="K5" i="94" l="1"/>
  <c r="J37" i="94"/>
  <c r="K37" i="94" l="1"/>
  <c r="L5" i="94"/>
  <c r="M5" i="94" l="1"/>
  <c r="L37" i="94"/>
  <c r="B200" i="81"/>
  <c r="B200" i="57"/>
  <c r="A200" i="57"/>
  <c r="C36" i="57" s="1"/>
  <c r="D36" i="57" s="1"/>
  <c r="E36" i="57" s="1"/>
  <c r="F36" i="57" s="1"/>
  <c r="G36" i="57" s="1"/>
  <c r="H36" i="57" s="1"/>
  <c r="I36" i="57" s="1"/>
  <c r="J36" i="57" s="1"/>
  <c r="K36" i="57" s="1"/>
  <c r="L36" i="57" s="1"/>
  <c r="M36" i="57" s="1"/>
  <c r="N36" i="57" s="1"/>
  <c r="C32" i="57"/>
  <c r="D32" i="57" s="1"/>
  <c r="E32" i="57" s="1"/>
  <c r="F32" i="57" s="1"/>
  <c r="G32" i="57" s="1"/>
  <c r="H32" i="57" s="1"/>
  <c r="I32" i="57" s="1"/>
  <c r="J32" i="57" s="1"/>
  <c r="K32" i="57" s="1"/>
  <c r="L32" i="57" s="1"/>
  <c r="M32" i="57" s="1"/>
  <c r="N32" i="57" s="1"/>
  <c r="C24" i="57"/>
  <c r="D24" i="57" s="1"/>
  <c r="E24" i="57" s="1"/>
  <c r="F24" i="57" s="1"/>
  <c r="G24" i="57" s="1"/>
  <c r="H24" i="57" s="1"/>
  <c r="I24" i="57" s="1"/>
  <c r="J24" i="57" s="1"/>
  <c r="K24" i="57" s="1"/>
  <c r="L24" i="57" s="1"/>
  <c r="M24" i="57" s="1"/>
  <c r="N24" i="57" s="1"/>
  <c r="C16" i="57"/>
  <c r="D16" i="57" s="1"/>
  <c r="E16" i="57" s="1"/>
  <c r="F16" i="57" s="1"/>
  <c r="G16" i="57" s="1"/>
  <c r="H16" i="57" s="1"/>
  <c r="I16" i="57" s="1"/>
  <c r="J16" i="57" s="1"/>
  <c r="K16" i="57" s="1"/>
  <c r="L16" i="57" s="1"/>
  <c r="M16" i="57" s="1"/>
  <c r="N16" i="57" s="1"/>
  <c r="C8" i="57"/>
  <c r="D8" i="57" s="1"/>
  <c r="E8" i="57" s="1"/>
  <c r="F8" i="57" s="1"/>
  <c r="G8" i="57" s="1"/>
  <c r="H8" i="57" s="1"/>
  <c r="I8" i="57" s="1"/>
  <c r="J8" i="57" s="1"/>
  <c r="K8" i="57" s="1"/>
  <c r="L8" i="57" s="1"/>
  <c r="M8" i="57" s="1"/>
  <c r="N8" i="57" s="1"/>
  <c r="B200" i="54"/>
  <c r="A200" i="54"/>
  <c r="C36" i="54" s="1"/>
  <c r="D36" i="54" s="1"/>
  <c r="E36" i="54" s="1"/>
  <c r="F36" i="54" s="1"/>
  <c r="G36" i="54" s="1"/>
  <c r="H36" i="54" s="1"/>
  <c r="I36" i="54" s="1"/>
  <c r="J36" i="54" s="1"/>
  <c r="K36" i="54" s="1"/>
  <c r="L36" i="54" s="1"/>
  <c r="M36" i="54" s="1"/>
  <c r="N36" i="54" s="1"/>
  <c r="C8" i="54"/>
  <c r="D8" i="54" s="1"/>
  <c r="E8" i="54" s="1"/>
  <c r="F8" i="54" s="1"/>
  <c r="G8" i="54" s="1"/>
  <c r="H8" i="54" s="1"/>
  <c r="I8" i="54" s="1"/>
  <c r="J8" i="54" s="1"/>
  <c r="K8" i="54" s="1"/>
  <c r="L8" i="54" s="1"/>
  <c r="M8" i="54" s="1"/>
  <c r="N8" i="54" s="1"/>
  <c r="B200" i="51"/>
  <c r="A200" i="51"/>
  <c r="C35" i="51" s="1"/>
  <c r="D35" i="51" s="1"/>
  <c r="E35" i="51" s="1"/>
  <c r="F35" i="51" s="1"/>
  <c r="G35" i="51" s="1"/>
  <c r="H35" i="51" s="1"/>
  <c r="I35" i="51" s="1"/>
  <c r="J35" i="51" s="1"/>
  <c r="K35" i="51" s="1"/>
  <c r="L35" i="51" s="1"/>
  <c r="M35" i="51" s="1"/>
  <c r="N35" i="51" s="1"/>
  <c r="C31" i="51"/>
  <c r="D31" i="51" s="1"/>
  <c r="E31" i="51" s="1"/>
  <c r="F31" i="51" s="1"/>
  <c r="G31" i="51" s="1"/>
  <c r="H31" i="51" s="1"/>
  <c r="I31" i="51" s="1"/>
  <c r="J31" i="51" s="1"/>
  <c r="K31" i="51" s="1"/>
  <c r="L31" i="51" s="1"/>
  <c r="M31" i="51" s="1"/>
  <c r="N31" i="51" s="1"/>
  <c r="C23" i="51"/>
  <c r="D23" i="51" s="1"/>
  <c r="E23" i="51" s="1"/>
  <c r="F23" i="51" s="1"/>
  <c r="G23" i="51" s="1"/>
  <c r="H23" i="51" s="1"/>
  <c r="I23" i="51" s="1"/>
  <c r="J23" i="51" s="1"/>
  <c r="K23" i="51" s="1"/>
  <c r="L23" i="51" s="1"/>
  <c r="M23" i="51" s="1"/>
  <c r="N23" i="51" s="1"/>
  <c r="C16" i="51"/>
  <c r="D16" i="51" s="1"/>
  <c r="E16" i="51" s="1"/>
  <c r="F16" i="51" s="1"/>
  <c r="G16" i="51" s="1"/>
  <c r="H16" i="51" s="1"/>
  <c r="I16" i="51" s="1"/>
  <c r="J16" i="51" s="1"/>
  <c r="K16" i="51" s="1"/>
  <c r="L16" i="51" s="1"/>
  <c r="M16" i="51" s="1"/>
  <c r="N16" i="51" s="1"/>
  <c r="C12" i="51"/>
  <c r="D12" i="51" s="1"/>
  <c r="E12" i="51" s="1"/>
  <c r="F12" i="51" s="1"/>
  <c r="G12" i="51" s="1"/>
  <c r="H12" i="51" s="1"/>
  <c r="I12" i="51" s="1"/>
  <c r="J12" i="51" s="1"/>
  <c r="K12" i="51" s="1"/>
  <c r="L12" i="51" s="1"/>
  <c r="M12" i="51" s="1"/>
  <c r="N12" i="51" s="1"/>
  <c r="B200" i="48"/>
  <c r="A200" i="48"/>
  <c r="C28" i="48" s="1"/>
  <c r="D28" i="48" s="1"/>
  <c r="E28" i="48" s="1"/>
  <c r="F28" i="48" s="1"/>
  <c r="G28" i="48" s="1"/>
  <c r="H28" i="48" s="1"/>
  <c r="I28" i="48" s="1"/>
  <c r="J28" i="48" s="1"/>
  <c r="K28" i="48" s="1"/>
  <c r="L28" i="48" s="1"/>
  <c r="M28" i="48" s="1"/>
  <c r="N28" i="48" s="1"/>
  <c r="C12" i="48"/>
  <c r="D12" i="48" s="1"/>
  <c r="E12" i="48" s="1"/>
  <c r="F12" i="48" s="1"/>
  <c r="G12" i="48" s="1"/>
  <c r="H12" i="48" s="1"/>
  <c r="I12" i="48" s="1"/>
  <c r="J12" i="48" s="1"/>
  <c r="K12" i="48" s="1"/>
  <c r="L12" i="48" s="1"/>
  <c r="M12" i="48" s="1"/>
  <c r="N12" i="48" s="1"/>
  <c r="B200" i="45"/>
  <c r="C35" i="45" s="1"/>
  <c r="D35" i="45" s="1"/>
  <c r="E35" i="45" s="1"/>
  <c r="F35" i="45" s="1"/>
  <c r="G35" i="45" s="1"/>
  <c r="H35" i="45" s="1"/>
  <c r="I35" i="45" s="1"/>
  <c r="J35" i="45" s="1"/>
  <c r="K35" i="45" s="1"/>
  <c r="L35" i="45" s="1"/>
  <c r="M35" i="45" s="1"/>
  <c r="N35" i="45" s="1"/>
  <c r="A200" i="45"/>
  <c r="C36" i="45" s="1"/>
  <c r="D36" i="45" s="1"/>
  <c r="E36" i="45" s="1"/>
  <c r="F36" i="45" s="1"/>
  <c r="G36" i="45" s="1"/>
  <c r="H36" i="45" s="1"/>
  <c r="I36" i="45" s="1"/>
  <c r="J36" i="45" s="1"/>
  <c r="K36" i="45" s="1"/>
  <c r="L36" i="45" s="1"/>
  <c r="M36" i="45" s="1"/>
  <c r="N36" i="45" s="1"/>
  <c r="C28" i="45"/>
  <c r="D28" i="45" s="1"/>
  <c r="E28" i="45" s="1"/>
  <c r="F28" i="45" s="1"/>
  <c r="G28" i="45" s="1"/>
  <c r="H28" i="45" s="1"/>
  <c r="I28" i="45" s="1"/>
  <c r="J28" i="45" s="1"/>
  <c r="K28" i="45" s="1"/>
  <c r="L28" i="45" s="1"/>
  <c r="M28" i="45" s="1"/>
  <c r="N28" i="45" s="1"/>
  <c r="C20" i="45"/>
  <c r="D20" i="45" s="1"/>
  <c r="E20" i="45" s="1"/>
  <c r="F20" i="45" s="1"/>
  <c r="G20" i="45" s="1"/>
  <c r="H20" i="45" s="1"/>
  <c r="I20" i="45" s="1"/>
  <c r="J20" i="45" s="1"/>
  <c r="K20" i="45" s="1"/>
  <c r="L20" i="45" s="1"/>
  <c r="M20" i="45" s="1"/>
  <c r="N20" i="45" s="1"/>
  <c r="C12" i="45"/>
  <c r="D12" i="45" s="1"/>
  <c r="E12" i="45" s="1"/>
  <c r="F12" i="45" s="1"/>
  <c r="G12" i="45" s="1"/>
  <c r="H12" i="45" s="1"/>
  <c r="I12" i="45" s="1"/>
  <c r="J12" i="45" s="1"/>
  <c r="K12" i="45" s="1"/>
  <c r="L12" i="45" s="1"/>
  <c r="M12" i="45" s="1"/>
  <c r="N12" i="45" s="1"/>
  <c r="E200" i="42"/>
  <c r="F200" i="42" s="1"/>
  <c r="G200" i="42" s="1"/>
  <c r="H200" i="42" s="1"/>
  <c r="B200" i="42"/>
  <c r="A200" i="42"/>
  <c r="C36" i="42" s="1"/>
  <c r="D36" i="42" s="1"/>
  <c r="E36" i="42" s="1"/>
  <c r="F36" i="42" s="1"/>
  <c r="G36" i="42" s="1"/>
  <c r="H36" i="42" s="1"/>
  <c r="I36" i="42" s="1"/>
  <c r="J36" i="42" s="1"/>
  <c r="K36" i="42" s="1"/>
  <c r="L36" i="42" s="1"/>
  <c r="M36" i="42" s="1"/>
  <c r="N36" i="42" s="1"/>
  <c r="C21" i="42"/>
  <c r="D21" i="42" s="1"/>
  <c r="E21" i="42" s="1"/>
  <c r="F21" i="42" s="1"/>
  <c r="G21" i="42" s="1"/>
  <c r="H21" i="42" s="1"/>
  <c r="I21" i="42" s="1"/>
  <c r="J21" i="42" s="1"/>
  <c r="K21" i="42" s="1"/>
  <c r="L21" i="42" s="1"/>
  <c r="M21" i="42" s="1"/>
  <c r="N21" i="42" s="1"/>
  <c r="C17" i="42"/>
  <c r="D17" i="42" s="1"/>
  <c r="E17" i="42" s="1"/>
  <c r="F17" i="42" s="1"/>
  <c r="G17" i="42" s="1"/>
  <c r="H17" i="42" s="1"/>
  <c r="I17" i="42" s="1"/>
  <c r="J17" i="42" s="1"/>
  <c r="K17" i="42" s="1"/>
  <c r="L17" i="42" s="1"/>
  <c r="M17" i="42" s="1"/>
  <c r="N17" i="42" s="1"/>
  <c r="C5" i="42"/>
  <c r="D5" i="42" s="1"/>
  <c r="C36" i="36"/>
  <c r="D36" i="36" s="1"/>
  <c r="E36" i="36" s="1"/>
  <c r="F36" i="36" s="1"/>
  <c r="G36" i="36" s="1"/>
  <c r="H36" i="36" s="1"/>
  <c r="I36" i="36" s="1"/>
  <c r="J36" i="36" s="1"/>
  <c r="K36" i="36" s="1"/>
  <c r="L36" i="36" s="1"/>
  <c r="M36" i="36" s="1"/>
  <c r="N36" i="36" s="1"/>
  <c r="C35" i="36"/>
  <c r="D35" i="36" s="1"/>
  <c r="E35" i="36" s="1"/>
  <c r="F35" i="36" s="1"/>
  <c r="G35" i="36" s="1"/>
  <c r="H35" i="36" s="1"/>
  <c r="I35" i="36" s="1"/>
  <c r="J35" i="36" s="1"/>
  <c r="K35" i="36" s="1"/>
  <c r="L35" i="36" s="1"/>
  <c r="M35" i="36" s="1"/>
  <c r="N35" i="36" s="1"/>
  <c r="C34" i="36"/>
  <c r="D34" i="36" s="1"/>
  <c r="E34" i="36" s="1"/>
  <c r="F34" i="36" s="1"/>
  <c r="G34" i="36" s="1"/>
  <c r="H34" i="36" s="1"/>
  <c r="I34" i="36" s="1"/>
  <c r="J34" i="36" s="1"/>
  <c r="K34" i="36" s="1"/>
  <c r="L34" i="36" s="1"/>
  <c r="M34" i="36" s="1"/>
  <c r="N34" i="36" s="1"/>
  <c r="C33" i="36"/>
  <c r="D33" i="36" s="1"/>
  <c r="E33" i="36" s="1"/>
  <c r="F33" i="36" s="1"/>
  <c r="G33" i="36" s="1"/>
  <c r="H33" i="36" s="1"/>
  <c r="I33" i="36" s="1"/>
  <c r="J33" i="36" s="1"/>
  <c r="K33" i="36" s="1"/>
  <c r="L33" i="36" s="1"/>
  <c r="M33" i="36" s="1"/>
  <c r="N33" i="36" s="1"/>
  <c r="C32" i="36"/>
  <c r="D32" i="36" s="1"/>
  <c r="E32" i="36" s="1"/>
  <c r="F32" i="36" s="1"/>
  <c r="G32" i="36" s="1"/>
  <c r="H32" i="36" s="1"/>
  <c r="I32" i="36" s="1"/>
  <c r="J32" i="36" s="1"/>
  <c r="K32" i="36" s="1"/>
  <c r="L32" i="36" s="1"/>
  <c r="M32" i="36" s="1"/>
  <c r="N32" i="36" s="1"/>
  <c r="C31" i="36"/>
  <c r="D31" i="36" s="1"/>
  <c r="E31" i="36" s="1"/>
  <c r="F31" i="36" s="1"/>
  <c r="G31" i="36" s="1"/>
  <c r="H31" i="36" s="1"/>
  <c r="I31" i="36" s="1"/>
  <c r="J31" i="36" s="1"/>
  <c r="K31" i="36" s="1"/>
  <c r="L31" i="36" s="1"/>
  <c r="M31" i="36" s="1"/>
  <c r="N31" i="36" s="1"/>
  <c r="C30" i="36"/>
  <c r="D30" i="36" s="1"/>
  <c r="E30" i="36" s="1"/>
  <c r="F30" i="36" s="1"/>
  <c r="G30" i="36" s="1"/>
  <c r="H30" i="36" s="1"/>
  <c r="I30" i="36" s="1"/>
  <c r="J30" i="36" s="1"/>
  <c r="K30" i="36" s="1"/>
  <c r="L30" i="36" s="1"/>
  <c r="M30" i="36" s="1"/>
  <c r="N30" i="36" s="1"/>
  <c r="C29" i="36"/>
  <c r="D29" i="36" s="1"/>
  <c r="E29" i="36" s="1"/>
  <c r="F29" i="36" s="1"/>
  <c r="G29" i="36" s="1"/>
  <c r="H29" i="36" s="1"/>
  <c r="I29" i="36" s="1"/>
  <c r="J29" i="36" s="1"/>
  <c r="K29" i="36" s="1"/>
  <c r="L29" i="36" s="1"/>
  <c r="M29" i="36" s="1"/>
  <c r="N29" i="36" s="1"/>
  <c r="C28" i="36"/>
  <c r="D28" i="36" s="1"/>
  <c r="E28" i="36" s="1"/>
  <c r="F28" i="36" s="1"/>
  <c r="G28" i="36" s="1"/>
  <c r="H28" i="36" s="1"/>
  <c r="I28" i="36" s="1"/>
  <c r="J28" i="36" s="1"/>
  <c r="K28" i="36" s="1"/>
  <c r="L28" i="36" s="1"/>
  <c r="M28" i="36" s="1"/>
  <c r="N28" i="36" s="1"/>
  <c r="C27" i="36"/>
  <c r="D27" i="36" s="1"/>
  <c r="E27" i="36" s="1"/>
  <c r="F27" i="36" s="1"/>
  <c r="G27" i="36" s="1"/>
  <c r="H27" i="36" s="1"/>
  <c r="I27" i="36" s="1"/>
  <c r="J27" i="36" s="1"/>
  <c r="K27" i="36" s="1"/>
  <c r="L27" i="36" s="1"/>
  <c r="M27" i="36" s="1"/>
  <c r="N27" i="36" s="1"/>
  <c r="C26" i="36"/>
  <c r="D26" i="36" s="1"/>
  <c r="E26" i="36" s="1"/>
  <c r="F26" i="36" s="1"/>
  <c r="G26" i="36" s="1"/>
  <c r="H26" i="36" s="1"/>
  <c r="I26" i="36" s="1"/>
  <c r="J26" i="36" s="1"/>
  <c r="K26" i="36" s="1"/>
  <c r="L26" i="36" s="1"/>
  <c r="M26" i="36" s="1"/>
  <c r="N26" i="36" s="1"/>
  <c r="C25" i="36"/>
  <c r="D25" i="36" s="1"/>
  <c r="E25" i="36" s="1"/>
  <c r="F25" i="36" s="1"/>
  <c r="G25" i="36" s="1"/>
  <c r="H25" i="36" s="1"/>
  <c r="I25" i="36" s="1"/>
  <c r="J25" i="36" s="1"/>
  <c r="K25" i="36" s="1"/>
  <c r="L25" i="36" s="1"/>
  <c r="M25" i="36" s="1"/>
  <c r="N25" i="36" s="1"/>
  <c r="C24" i="36"/>
  <c r="D24" i="36" s="1"/>
  <c r="E24" i="36" s="1"/>
  <c r="F24" i="36" s="1"/>
  <c r="G24" i="36" s="1"/>
  <c r="H24" i="36" s="1"/>
  <c r="I24" i="36" s="1"/>
  <c r="J24" i="36" s="1"/>
  <c r="K24" i="36" s="1"/>
  <c r="L24" i="36" s="1"/>
  <c r="M24" i="36" s="1"/>
  <c r="N24" i="36" s="1"/>
  <c r="C23" i="36"/>
  <c r="D23" i="36" s="1"/>
  <c r="E23" i="36" s="1"/>
  <c r="F23" i="36" s="1"/>
  <c r="G23" i="36" s="1"/>
  <c r="H23" i="36" s="1"/>
  <c r="I23" i="36" s="1"/>
  <c r="J23" i="36" s="1"/>
  <c r="K23" i="36" s="1"/>
  <c r="L23" i="36" s="1"/>
  <c r="M23" i="36" s="1"/>
  <c r="N23" i="36" s="1"/>
  <c r="C22" i="36"/>
  <c r="D22" i="36" s="1"/>
  <c r="E22" i="36" s="1"/>
  <c r="F22" i="36" s="1"/>
  <c r="G22" i="36" s="1"/>
  <c r="H22" i="36" s="1"/>
  <c r="I22" i="36" s="1"/>
  <c r="J22" i="36" s="1"/>
  <c r="K22" i="36" s="1"/>
  <c r="L22" i="36" s="1"/>
  <c r="M22" i="36" s="1"/>
  <c r="N22" i="36" s="1"/>
  <c r="C21" i="36"/>
  <c r="D21" i="36" s="1"/>
  <c r="E21" i="36" s="1"/>
  <c r="F21" i="36" s="1"/>
  <c r="G21" i="36" s="1"/>
  <c r="H21" i="36" s="1"/>
  <c r="I21" i="36" s="1"/>
  <c r="J21" i="36" s="1"/>
  <c r="K21" i="36" s="1"/>
  <c r="L21" i="36" s="1"/>
  <c r="M21" i="36" s="1"/>
  <c r="N21" i="36" s="1"/>
  <c r="C20" i="36"/>
  <c r="D20" i="36" s="1"/>
  <c r="E20" i="36" s="1"/>
  <c r="F20" i="36" s="1"/>
  <c r="G20" i="36" s="1"/>
  <c r="H20" i="36" s="1"/>
  <c r="I20" i="36" s="1"/>
  <c r="J20" i="36" s="1"/>
  <c r="K20" i="36" s="1"/>
  <c r="L20" i="36" s="1"/>
  <c r="M20" i="36" s="1"/>
  <c r="N20" i="36" s="1"/>
  <c r="C19" i="36"/>
  <c r="D19" i="36" s="1"/>
  <c r="E19" i="36" s="1"/>
  <c r="F19" i="36" s="1"/>
  <c r="G19" i="36" s="1"/>
  <c r="H19" i="36" s="1"/>
  <c r="I19" i="36" s="1"/>
  <c r="J19" i="36" s="1"/>
  <c r="K19" i="36" s="1"/>
  <c r="L19" i="36" s="1"/>
  <c r="M19" i="36" s="1"/>
  <c r="N19" i="36" s="1"/>
  <c r="C18" i="36"/>
  <c r="D18" i="36" s="1"/>
  <c r="E18" i="36" s="1"/>
  <c r="F18" i="36" s="1"/>
  <c r="G18" i="36" s="1"/>
  <c r="H18" i="36" s="1"/>
  <c r="I18" i="36" s="1"/>
  <c r="J18" i="36" s="1"/>
  <c r="K18" i="36" s="1"/>
  <c r="L18" i="36" s="1"/>
  <c r="M18" i="36" s="1"/>
  <c r="N18" i="36" s="1"/>
  <c r="C17" i="36"/>
  <c r="D17" i="36" s="1"/>
  <c r="E17" i="36" s="1"/>
  <c r="F17" i="36" s="1"/>
  <c r="G17" i="36" s="1"/>
  <c r="H17" i="36" s="1"/>
  <c r="I17" i="36" s="1"/>
  <c r="J17" i="36" s="1"/>
  <c r="K17" i="36" s="1"/>
  <c r="L17" i="36" s="1"/>
  <c r="M17" i="36" s="1"/>
  <c r="N17" i="36" s="1"/>
  <c r="C16" i="36"/>
  <c r="D16" i="36" s="1"/>
  <c r="E16" i="36" s="1"/>
  <c r="F16" i="36" s="1"/>
  <c r="G16" i="36" s="1"/>
  <c r="H16" i="36" s="1"/>
  <c r="I16" i="36" s="1"/>
  <c r="J16" i="36" s="1"/>
  <c r="K16" i="36" s="1"/>
  <c r="L16" i="36" s="1"/>
  <c r="M16" i="36" s="1"/>
  <c r="N16" i="36" s="1"/>
  <c r="C15" i="36"/>
  <c r="D15" i="36" s="1"/>
  <c r="E15" i="36" s="1"/>
  <c r="F15" i="36" s="1"/>
  <c r="G15" i="36" s="1"/>
  <c r="H15" i="36" s="1"/>
  <c r="I15" i="36" s="1"/>
  <c r="J15" i="36" s="1"/>
  <c r="K15" i="36" s="1"/>
  <c r="L15" i="36" s="1"/>
  <c r="M15" i="36" s="1"/>
  <c r="N15" i="36" s="1"/>
  <c r="C14" i="36"/>
  <c r="D14" i="36" s="1"/>
  <c r="E14" i="36" s="1"/>
  <c r="F14" i="36" s="1"/>
  <c r="G14" i="36" s="1"/>
  <c r="H14" i="36" s="1"/>
  <c r="I14" i="36" s="1"/>
  <c r="J14" i="36" s="1"/>
  <c r="K14" i="36" s="1"/>
  <c r="L14" i="36" s="1"/>
  <c r="M14" i="36" s="1"/>
  <c r="N14" i="36" s="1"/>
  <c r="C13" i="36"/>
  <c r="D13" i="36" s="1"/>
  <c r="E13" i="36" s="1"/>
  <c r="F13" i="36" s="1"/>
  <c r="G13" i="36" s="1"/>
  <c r="H13" i="36" s="1"/>
  <c r="I13" i="36" s="1"/>
  <c r="J13" i="36" s="1"/>
  <c r="K13" i="36" s="1"/>
  <c r="L13" i="36" s="1"/>
  <c r="M13" i="36" s="1"/>
  <c r="N13" i="36" s="1"/>
  <c r="C12" i="36"/>
  <c r="D12" i="36" s="1"/>
  <c r="E12" i="36" s="1"/>
  <c r="F12" i="36" s="1"/>
  <c r="G12" i="36" s="1"/>
  <c r="H12" i="36" s="1"/>
  <c r="I12" i="36" s="1"/>
  <c r="J12" i="36" s="1"/>
  <c r="K12" i="36" s="1"/>
  <c r="L12" i="36" s="1"/>
  <c r="M12" i="36" s="1"/>
  <c r="N12" i="36" s="1"/>
  <c r="C11" i="36"/>
  <c r="D11" i="36" s="1"/>
  <c r="E11" i="36" s="1"/>
  <c r="F11" i="36" s="1"/>
  <c r="G11" i="36" s="1"/>
  <c r="H11" i="36" s="1"/>
  <c r="I11" i="36" s="1"/>
  <c r="J11" i="36" s="1"/>
  <c r="K11" i="36" s="1"/>
  <c r="L11" i="36" s="1"/>
  <c r="M11" i="36" s="1"/>
  <c r="N11" i="36" s="1"/>
  <c r="C10" i="36"/>
  <c r="D10" i="36" s="1"/>
  <c r="E10" i="36" s="1"/>
  <c r="F10" i="36" s="1"/>
  <c r="G10" i="36" s="1"/>
  <c r="H10" i="36" s="1"/>
  <c r="I10" i="36" s="1"/>
  <c r="J10" i="36" s="1"/>
  <c r="K10" i="36" s="1"/>
  <c r="L10" i="36" s="1"/>
  <c r="M10" i="36" s="1"/>
  <c r="N10" i="36" s="1"/>
  <c r="C9" i="36"/>
  <c r="D9" i="36" s="1"/>
  <c r="E9" i="36" s="1"/>
  <c r="F9" i="36" s="1"/>
  <c r="G9" i="36" s="1"/>
  <c r="H9" i="36" s="1"/>
  <c r="I9" i="36" s="1"/>
  <c r="J9" i="36" s="1"/>
  <c r="K9" i="36" s="1"/>
  <c r="L9" i="36" s="1"/>
  <c r="M9" i="36" s="1"/>
  <c r="N9" i="36" s="1"/>
  <c r="C8" i="36"/>
  <c r="D8" i="36" s="1"/>
  <c r="E8" i="36" s="1"/>
  <c r="F8" i="36" s="1"/>
  <c r="G8" i="36" s="1"/>
  <c r="H8" i="36" s="1"/>
  <c r="I8" i="36" s="1"/>
  <c r="J8" i="36" s="1"/>
  <c r="K8" i="36" s="1"/>
  <c r="L8" i="36" s="1"/>
  <c r="M8" i="36" s="1"/>
  <c r="N8" i="36" s="1"/>
  <c r="C7" i="36"/>
  <c r="D7" i="36" s="1"/>
  <c r="E7" i="36" s="1"/>
  <c r="F7" i="36" s="1"/>
  <c r="G7" i="36" s="1"/>
  <c r="H7" i="36" s="1"/>
  <c r="I7" i="36" s="1"/>
  <c r="J7" i="36" s="1"/>
  <c r="K7" i="36" s="1"/>
  <c r="L7" i="36" s="1"/>
  <c r="M7" i="36" s="1"/>
  <c r="N7" i="36" s="1"/>
  <c r="C6" i="36"/>
  <c r="D6" i="36" s="1"/>
  <c r="E6" i="36" s="1"/>
  <c r="F6" i="36" s="1"/>
  <c r="G6" i="36" s="1"/>
  <c r="H6" i="36" s="1"/>
  <c r="I6" i="36" s="1"/>
  <c r="J6" i="36" s="1"/>
  <c r="K6" i="36" s="1"/>
  <c r="L6" i="36" s="1"/>
  <c r="M6" i="36" s="1"/>
  <c r="N6" i="36" s="1"/>
  <c r="C5" i="36"/>
  <c r="D5" i="36" s="1"/>
  <c r="E5" i="36" s="1"/>
  <c r="F5" i="36" s="1"/>
  <c r="B200" i="30"/>
  <c r="A200" i="30"/>
  <c r="C36" i="30" s="1"/>
  <c r="D36" i="30" s="1"/>
  <c r="E36" i="30" s="1"/>
  <c r="F36" i="30" s="1"/>
  <c r="G36" i="30" s="1"/>
  <c r="H36" i="30" s="1"/>
  <c r="I36" i="30" s="1"/>
  <c r="J36" i="30" s="1"/>
  <c r="K36" i="30" s="1"/>
  <c r="L36" i="30" s="1"/>
  <c r="M36" i="30" s="1"/>
  <c r="N36" i="30" s="1"/>
  <c r="C29" i="30"/>
  <c r="D29" i="30" s="1"/>
  <c r="E29" i="30" s="1"/>
  <c r="F29" i="30" s="1"/>
  <c r="G29" i="30" s="1"/>
  <c r="H29" i="30" s="1"/>
  <c r="I29" i="30" s="1"/>
  <c r="J29" i="30" s="1"/>
  <c r="K29" i="30" s="1"/>
  <c r="L29" i="30" s="1"/>
  <c r="M29" i="30" s="1"/>
  <c r="N29" i="30" s="1"/>
  <c r="C21" i="30"/>
  <c r="D21" i="30" s="1"/>
  <c r="E21" i="30" s="1"/>
  <c r="F21" i="30" s="1"/>
  <c r="G21" i="30" s="1"/>
  <c r="H21" i="30" s="1"/>
  <c r="I21" i="30" s="1"/>
  <c r="J21" i="30" s="1"/>
  <c r="K21" i="30" s="1"/>
  <c r="L21" i="30" s="1"/>
  <c r="M21" i="30" s="1"/>
  <c r="N21" i="30" s="1"/>
  <c r="C13" i="30"/>
  <c r="D13" i="30" s="1"/>
  <c r="E13" i="30" s="1"/>
  <c r="F13" i="30" s="1"/>
  <c r="G13" i="30" s="1"/>
  <c r="H13" i="30" s="1"/>
  <c r="I13" i="30" s="1"/>
  <c r="J13" i="30" s="1"/>
  <c r="K13" i="30" s="1"/>
  <c r="L13" i="30" s="1"/>
  <c r="M13" i="30" s="1"/>
  <c r="N13" i="30" s="1"/>
  <c r="C5" i="30"/>
  <c r="D5" i="30" s="1"/>
  <c r="B200" i="25"/>
  <c r="A200" i="25"/>
  <c r="C36" i="25" s="1"/>
  <c r="D36" i="25" s="1"/>
  <c r="E36" i="25" s="1"/>
  <c r="F36" i="25" s="1"/>
  <c r="G36" i="25" s="1"/>
  <c r="H36" i="25" s="1"/>
  <c r="I36" i="25" s="1"/>
  <c r="J36" i="25" s="1"/>
  <c r="K36" i="25" s="1"/>
  <c r="L36" i="25" s="1"/>
  <c r="M36" i="25" s="1"/>
  <c r="N36" i="25" s="1"/>
  <c r="B200" i="22"/>
  <c r="C33" i="22" s="1"/>
  <c r="D33" i="22" s="1"/>
  <c r="E33" i="22" s="1"/>
  <c r="F33" i="22" s="1"/>
  <c r="G33" i="22" s="1"/>
  <c r="H33" i="22" s="1"/>
  <c r="I33" i="22" s="1"/>
  <c r="J33" i="22" s="1"/>
  <c r="K33" i="22" s="1"/>
  <c r="L33" i="22" s="1"/>
  <c r="M33" i="22" s="1"/>
  <c r="N33" i="22" s="1"/>
  <c r="A200" i="22"/>
  <c r="C35" i="22" s="1"/>
  <c r="D35" i="22" s="1"/>
  <c r="E35" i="22" s="1"/>
  <c r="F35" i="22" s="1"/>
  <c r="G35" i="22" s="1"/>
  <c r="H35" i="22" s="1"/>
  <c r="I35" i="22" s="1"/>
  <c r="J35" i="22" s="1"/>
  <c r="K35" i="22" s="1"/>
  <c r="L35" i="22" s="1"/>
  <c r="M35" i="22" s="1"/>
  <c r="N35" i="22" s="1"/>
  <c r="C19" i="22"/>
  <c r="D19" i="22" s="1"/>
  <c r="E19" i="22" s="1"/>
  <c r="F19" i="22" s="1"/>
  <c r="G19" i="22" s="1"/>
  <c r="H19" i="22" s="1"/>
  <c r="I19" i="22" s="1"/>
  <c r="J19" i="22" s="1"/>
  <c r="K19" i="22" s="1"/>
  <c r="L19" i="22" s="1"/>
  <c r="M19" i="22" s="1"/>
  <c r="N19" i="22" s="1"/>
  <c r="B200" i="19"/>
  <c r="A200" i="19"/>
  <c r="C27" i="19" s="1"/>
  <c r="D27" i="19" s="1"/>
  <c r="E27" i="19" s="1"/>
  <c r="F27" i="19" s="1"/>
  <c r="G27" i="19" s="1"/>
  <c r="H27" i="19" s="1"/>
  <c r="I27" i="19" s="1"/>
  <c r="J27" i="19" s="1"/>
  <c r="K27" i="19" s="1"/>
  <c r="L27" i="19" s="1"/>
  <c r="M27" i="19" s="1"/>
  <c r="N27" i="19" s="1"/>
  <c r="C35" i="19"/>
  <c r="D35" i="19" s="1"/>
  <c r="E35" i="19" s="1"/>
  <c r="F35" i="19" s="1"/>
  <c r="G35" i="19" s="1"/>
  <c r="H35" i="19" s="1"/>
  <c r="I35" i="19" s="1"/>
  <c r="J35" i="19" s="1"/>
  <c r="K35" i="19" s="1"/>
  <c r="L35" i="19" s="1"/>
  <c r="M35" i="19" s="1"/>
  <c r="N35" i="19" s="1"/>
  <c r="C11" i="19"/>
  <c r="D11" i="19" s="1"/>
  <c r="E11" i="19" s="1"/>
  <c r="F11" i="19" s="1"/>
  <c r="G11" i="19" s="1"/>
  <c r="H11" i="19" s="1"/>
  <c r="I11" i="19" s="1"/>
  <c r="J11" i="19" s="1"/>
  <c r="K11" i="19" s="1"/>
  <c r="L11" i="19" s="1"/>
  <c r="M11" i="19" s="1"/>
  <c r="N11" i="19" s="1"/>
  <c r="B200" i="16"/>
  <c r="C33" i="16" s="1"/>
  <c r="D33" i="16" s="1"/>
  <c r="E33" i="16" s="1"/>
  <c r="F33" i="16" s="1"/>
  <c r="G33" i="16" s="1"/>
  <c r="H33" i="16" s="1"/>
  <c r="I33" i="16" s="1"/>
  <c r="J33" i="16" s="1"/>
  <c r="K33" i="16" s="1"/>
  <c r="L33" i="16" s="1"/>
  <c r="M33" i="16" s="1"/>
  <c r="N33" i="16" s="1"/>
  <c r="A200" i="16"/>
  <c r="C35" i="16" s="1"/>
  <c r="D35" i="16" s="1"/>
  <c r="E35" i="16" s="1"/>
  <c r="F35" i="16" s="1"/>
  <c r="G35" i="16" s="1"/>
  <c r="H35" i="16" s="1"/>
  <c r="I35" i="16" s="1"/>
  <c r="J35" i="16" s="1"/>
  <c r="K35" i="16" s="1"/>
  <c r="L35" i="16" s="1"/>
  <c r="M35" i="16" s="1"/>
  <c r="N35" i="16" s="1"/>
  <c r="C19" i="16"/>
  <c r="D19" i="16" s="1"/>
  <c r="E19" i="16" s="1"/>
  <c r="F19" i="16" s="1"/>
  <c r="G19" i="16" s="1"/>
  <c r="H19" i="16" s="1"/>
  <c r="I19" i="16" s="1"/>
  <c r="J19" i="16" s="1"/>
  <c r="K19" i="16" s="1"/>
  <c r="L19" i="16" s="1"/>
  <c r="M19" i="16" s="1"/>
  <c r="N19" i="16" s="1"/>
  <c r="H21" i="9"/>
  <c r="I21" i="9" s="1"/>
  <c r="J21" i="9" s="1"/>
  <c r="F11" i="9"/>
  <c r="C36" i="48" l="1"/>
  <c r="D36" i="48" s="1"/>
  <c r="E36" i="48" s="1"/>
  <c r="F36" i="48" s="1"/>
  <c r="G36" i="48" s="1"/>
  <c r="H36" i="48" s="1"/>
  <c r="I36" i="48" s="1"/>
  <c r="J36" i="48" s="1"/>
  <c r="K36" i="48" s="1"/>
  <c r="L36" i="48" s="1"/>
  <c r="M36" i="48" s="1"/>
  <c r="N36" i="48" s="1"/>
  <c r="C32" i="54"/>
  <c r="D32" i="54" s="1"/>
  <c r="E32" i="54" s="1"/>
  <c r="F32" i="54" s="1"/>
  <c r="G32" i="54" s="1"/>
  <c r="H32" i="54" s="1"/>
  <c r="I32" i="54" s="1"/>
  <c r="J32" i="54" s="1"/>
  <c r="K32" i="54" s="1"/>
  <c r="L32" i="54" s="1"/>
  <c r="M32" i="54" s="1"/>
  <c r="N32" i="54" s="1"/>
  <c r="C27" i="16"/>
  <c r="D27" i="16" s="1"/>
  <c r="E27" i="16" s="1"/>
  <c r="F27" i="16" s="1"/>
  <c r="G27" i="16" s="1"/>
  <c r="H27" i="16" s="1"/>
  <c r="I27" i="16" s="1"/>
  <c r="J27" i="16" s="1"/>
  <c r="K27" i="16" s="1"/>
  <c r="L27" i="16" s="1"/>
  <c r="M27" i="16" s="1"/>
  <c r="N27" i="16" s="1"/>
  <c r="C19" i="19"/>
  <c r="D19" i="19" s="1"/>
  <c r="E19" i="19" s="1"/>
  <c r="F19" i="19" s="1"/>
  <c r="G19" i="19" s="1"/>
  <c r="H19" i="19" s="1"/>
  <c r="I19" i="19" s="1"/>
  <c r="J19" i="19" s="1"/>
  <c r="K19" i="19" s="1"/>
  <c r="L19" i="19" s="1"/>
  <c r="M19" i="19" s="1"/>
  <c r="N19" i="19" s="1"/>
  <c r="C33" i="19"/>
  <c r="D33" i="19" s="1"/>
  <c r="E33" i="19" s="1"/>
  <c r="F33" i="19" s="1"/>
  <c r="G33" i="19" s="1"/>
  <c r="H33" i="19" s="1"/>
  <c r="I33" i="19" s="1"/>
  <c r="J33" i="19" s="1"/>
  <c r="K33" i="19" s="1"/>
  <c r="L33" i="19" s="1"/>
  <c r="M33" i="19" s="1"/>
  <c r="N33" i="19" s="1"/>
  <c r="C24" i="25"/>
  <c r="D24" i="25" s="1"/>
  <c r="E24" i="25" s="1"/>
  <c r="F24" i="25" s="1"/>
  <c r="G24" i="25" s="1"/>
  <c r="H24" i="25" s="1"/>
  <c r="I24" i="25" s="1"/>
  <c r="J24" i="25" s="1"/>
  <c r="K24" i="25" s="1"/>
  <c r="L24" i="25" s="1"/>
  <c r="M24" i="25" s="1"/>
  <c r="N24" i="25" s="1"/>
  <c r="C9" i="42"/>
  <c r="D9" i="42" s="1"/>
  <c r="E9" i="42" s="1"/>
  <c r="F9" i="42" s="1"/>
  <c r="G9" i="42" s="1"/>
  <c r="H9" i="42" s="1"/>
  <c r="I9" i="42" s="1"/>
  <c r="J9" i="42" s="1"/>
  <c r="K9" i="42" s="1"/>
  <c r="L9" i="42" s="1"/>
  <c r="M9" i="42" s="1"/>
  <c r="N9" i="42" s="1"/>
  <c r="C25" i="42"/>
  <c r="D25" i="42" s="1"/>
  <c r="E25" i="42" s="1"/>
  <c r="F25" i="42" s="1"/>
  <c r="G25" i="42" s="1"/>
  <c r="H25" i="42" s="1"/>
  <c r="I25" i="42" s="1"/>
  <c r="J25" i="42" s="1"/>
  <c r="K25" i="42" s="1"/>
  <c r="L25" i="42" s="1"/>
  <c r="M25" i="42" s="1"/>
  <c r="N25" i="42" s="1"/>
  <c r="C20" i="48"/>
  <c r="D20" i="48" s="1"/>
  <c r="E20" i="48" s="1"/>
  <c r="F20" i="48" s="1"/>
  <c r="G20" i="48" s="1"/>
  <c r="H20" i="48" s="1"/>
  <c r="I20" i="48" s="1"/>
  <c r="J20" i="48" s="1"/>
  <c r="K20" i="48" s="1"/>
  <c r="L20" i="48" s="1"/>
  <c r="M20" i="48" s="1"/>
  <c r="N20" i="48" s="1"/>
  <c r="C35" i="48"/>
  <c r="D35" i="48" s="1"/>
  <c r="E35" i="48" s="1"/>
  <c r="F35" i="48" s="1"/>
  <c r="G35" i="48" s="1"/>
  <c r="H35" i="48" s="1"/>
  <c r="I35" i="48" s="1"/>
  <c r="J35" i="48" s="1"/>
  <c r="K35" i="48" s="1"/>
  <c r="L35" i="48" s="1"/>
  <c r="M35" i="48" s="1"/>
  <c r="N35" i="48" s="1"/>
  <c r="C16" i="54"/>
  <c r="D16" i="54" s="1"/>
  <c r="E16" i="54" s="1"/>
  <c r="F16" i="54" s="1"/>
  <c r="G16" i="54" s="1"/>
  <c r="H16" i="54" s="1"/>
  <c r="I16" i="54" s="1"/>
  <c r="J16" i="54" s="1"/>
  <c r="K16" i="54" s="1"/>
  <c r="L16" i="54" s="1"/>
  <c r="M16" i="54" s="1"/>
  <c r="N16" i="54" s="1"/>
  <c r="C27" i="22"/>
  <c r="D27" i="22" s="1"/>
  <c r="E27" i="22" s="1"/>
  <c r="F27" i="22" s="1"/>
  <c r="G27" i="22" s="1"/>
  <c r="H27" i="22" s="1"/>
  <c r="I27" i="22" s="1"/>
  <c r="J27" i="22" s="1"/>
  <c r="K27" i="22" s="1"/>
  <c r="L27" i="22" s="1"/>
  <c r="M27" i="22" s="1"/>
  <c r="N27" i="22" s="1"/>
  <c r="C17" i="25"/>
  <c r="D17" i="25" s="1"/>
  <c r="E17" i="25" s="1"/>
  <c r="F17" i="25" s="1"/>
  <c r="G17" i="25" s="1"/>
  <c r="H17" i="25" s="1"/>
  <c r="I17" i="25" s="1"/>
  <c r="J17" i="25" s="1"/>
  <c r="K17" i="25" s="1"/>
  <c r="L17" i="25" s="1"/>
  <c r="M17" i="25" s="1"/>
  <c r="N17" i="25" s="1"/>
  <c r="C11" i="16"/>
  <c r="D11" i="16" s="1"/>
  <c r="E11" i="16" s="1"/>
  <c r="F11" i="16" s="1"/>
  <c r="G11" i="16" s="1"/>
  <c r="H11" i="16" s="1"/>
  <c r="I11" i="16" s="1"/>
  <c r="J11" i="16" s="1"/>
  <c r="K11" i="16" s="1"/>
  <c r="L11" i="16" s="1"/>
  <c r="M11" i="16" s="1"/>
  <c r="N11" i="16" s="1"/>
  <c r="C11" i="22"/>
  <c r="D11" i="22" s="1"/>
  <c r="E11" i="22" s="1"/>
  <c r="F11" i="22" s="1"/>
  <c r="G11" i="22" s="1"/>
  <c r="H11" i="22" s="1"/>
  <c r="I11" i="22" s="1"/>
  <c r="J11" i="22" s="1"/>
  <c r="K11" i="22" s="1"/>
  <c r="L11" i="22" s="1"/>
  <c r="M11" i="22" s="1"/>
  <c r="N11" i="22" s="1"/>
  <c r="C31" i="25"/>
  <c r="D31" i="25" s="1"/>
  <c r="E31" i="25" s="1"/>
  <c r="F31" i="25" s="1"/>
  <c r="G31" i="25" s="1"/>
  <c r="H31" i="25" s="1"/>
  <c r="I31" i="25" s="1"/>
  <c r="J31" i="25" s="1"/>
  <c r="K31" i="25" s="1"/>
  <c r="L31" i="25" s="1"/>
  <c r="M31" i="25" s="1"/>
  <c r="N31" i="25" s="1"/>
  <c r="C13" i="42"/>
  <c r="D13" i="42" s="1"/>
  <c r="E13" i="42" s="1"/>
  <c r="F13" i="42" s="1"/>
  <c r="G13" i="42" s="1"/>
  <c r="H13" i="42" s="1"/>
  <c r="I13" i="42" s="1"/>
  <c r="J13" i="42" s="1"/>
  <c r="K13" i="42" s="1"/>
  <c r="L13" i="42" s="1"/>
  <c r="M13" i="42" s="1"/>
  <c r="N13" i="42" s="1"/>
  <c r="C29" i="42"/>
  <c r="D29" i="42" s="1"/>
  <c r="E29" i="42" s="1"/>
  <c r="F29" i="42" s="1"/>
  <c r="G29" i="42" s="1"/>
  <c r="H29" i="42" s="1"/>
  <c r="I29" i="42" s="1"/>
  <c r="J29" i="42" s="1"/>
  <c r="K29" i="42" s="1"/>
  <c r="L29" i="42" s="1"/>
  <c r="M29" i="42" s="1"/>
  <c r="N29" i="42" s="1"/>
  <c r="C24" i="54"/>
  <c r="D24" i="54" s="1"/>
  <c r="E24" i="54" s="1"/>
  <c r="F24" i="54" s="1"/>
  <c r="G24" i="54" s="1"/>
  <c r="H24" i="54" s="1"/>
  <c r="I24" i="54" s="1"/>
  <c r="J24" i="54" s="1"/>
  <c r="K24" i="54" s="1"/>
  <c r="L24" i="54" s="1"/>
  <c r="M24" i="54" s="1"/>
  <c r="N24" i="54" s="1"/>
  <c r="C7" i="16"/>
  <c r="D7" i="16" s="1"/>
  <c r="E7" i="16" s="1"/>
  <c r="F7" i="16" s="1"/>
  <c r="G7" i="16" s="1"/>
  <c r="H7" i="16" s="1"/>
  <c r="I7" i="16" s="1"/>
  <c r="J7" i="16" s="1"/>
  <c r="K7" i="16" s="1"/>
  <c r="L7" i="16" s="1"/>
  <c r="M7" i="16" s="1"/>
  <c r="N7" i="16" s="1"/>
  <c r="C15" i="16"/>
  <c r="D15" i="16" s="1"/>
  <c r="E15" i="16" s="1"/>
  <c r="F15" i="16" s="1"/>
  <c r="G15" i="16" s="1"/>
  <c r="H15" i="16" s="1"/>
  <c r="I15" i="16" s="1"/>
  <c r="J15" i="16" s="1"/>
  <c r="K15" i="16" s="1"/>
  <c r="L15" i="16" s="1"/>
  <c r="M15" i="16" s="1"/>
  <c r="N15" i="16" s="1"/>
  <c r="C23" i="16"/>
  <c r="D23" i="16" s="1"/>
  <c r="E23" i="16" s="1"/>
  <c r="F23" i="16" s="1"/>
  <c r="G23" i="16" s="1"/>
  <c r="H23" i="16" s="1"/>
  <c r="I23" i="16" s="1"/>
  <c r="J23" i="16" s="1"/>
  <c r="K23" i="16" s="1"/>
  <c r="L23" i="16" s="1"/>
  <c r="M23" i="16" s="1"/>
  <c r="N23" i="16" s="1"/>
  <c r="C31" i="16"/>
  <c r="D31" i="16" s="1"/>
  <c r="E31" i="16" s="1"/>
  <c r="F31" i="16" s="1"/>
  <c r="G31" i="16" s="1"/>
  <c r="H31" i="16" s="1"/>
  <c r="I31" i="16" s="1"/>
  <c r="J31" i="16" s="1"/>
  <c r="K31" i="16" s="1"/>
  <c r="L31" i="16" s="1"/>
  <c r="M31" i="16" s="1"/>
  <c r="N31" i="16" s="1"/>
  <c r="C7" i="19"/>
  <c r="D7" i="19" s="1"/>
  <c r="E7" i="19" s="1"/>
  <c r="F7" i="19" s="1"/>
  <c r="G7" i="19" s="1"/>
  <c r="H7" i="19" s="1"/>
  <c r="I7" i="19" s="1"/>
  <c r="J7" i="19" s="1"/>
  <c r="K7" i="19" s="1"/>
  <c r="L7" i="19" s="1"/>
  <c r="M7" i="19" s="1"/>
  <c r="N7" i="19" s="1"/>
  <c r="C15" i="19"/>
  <c r="D15" i="19" s="1"/>
  <c r="E15" i="19" s="1"/>
  <c r="F15" i="19" s="1"/>
  <c r="G15" i="19" s="1"/>
  <c r="H15" i="19" s="1"/>
  <c r="I15" i="19" s="1"/>
  <c r="J15" i="19" s="1"/>
  <c r="K15" i="19" s="1"/>
  <c r="L15" i="19" s="1"/>
  <c r="M15" i="19" s="1"/>
  <c r="N15" i="19" s="1"/>
  <c r="C23" i="19"/>
  <c r="D23" i="19" s="1"/>
  <c r="E23" i="19" s="1"/>
  <c r="F23" i="19" s="1"/>
  <c r="G23" i="19" s="1"/>
  <c r="H23" i="19" s="1"/>
  <c r="I23" i="19" s="1"/>
  <c r="J23" i="19" s="1"/>
  <c r="K23" i="19" s="1"/>
  <c r="L23" i="19" s="1"/>
  <c r="M23" i="19" s="1"/>
  <c r="N23" i="19" s="1"/>
  <c r="C31" i="19"/>
  <c r="D31" i="19" s="1"/>
  <c r="E31" i="19" s="1"/>
  <c r="F31" i="19" s="1"/>
  <c r="G31" i="19" s="1"/>
  <c r="H31" i="19" s="1"/>
  <c r="I31" i="19" s="1"/>
  <c r="J31" i="19" s="1"/>
  <c r="K31" i="19" s="1"/>
  <c r="L31" i="19" s="1"/>
  <c r="M31" i="19" s="1"/>
  <c r="N31" i="19" s="1"/>
  <c r="C7" i="22"/>
  <c r="D7" i="22" s="1"/>
  <c r="E7" i="22" s="1"/>
  <c r="F7" i="22" s="1"/>
  <c r="G7" i="22" s="1"/>
  <c r="H7" i="22" s="1"/>
  <c r="I7" i="22" s="1"/>
  <c r="J7" i="22" s="1"/>
  <c r="K7" i="22" s="1"/>
  <c r="L7" i="22" s="1"/>
  <c r="M7" i="22" s="1"/>
  <c r="N7" i="22" s="1"/>
  <c r="C15" i="22"/>
  <c r="D15" i="22" s="1"/>
  <c r="E15" i="22" s="1"/>
  <c r="F15" i="22" s="1"/>
  <c r="G15" i="22" s="1"/>
  <c r="H15" i="22" s="1"/>
  <c r="I15" i="22" s="1"/>
  <c r="J15" i="22" s="1"/>
  <c r="K15" i="22" s="1"/>
  <c r="L15" i="22" s="1"/>
  <c r="M15" i="22" s="1"/>
  <c r="N15" i="22" s="1"/>
  <c r="C23" i="22"/>
  <c r="D23" i="22" s="1"/>
  <c r="E23" i="22" s="1"/>
  <c r="F23" i="22" s="1"/>
  <c r="G23" i="22" s="1"/>
  <c r="H23" i="22" s="1"/>
  <c r="I23" i="22" s="1"/>
  <c r="J23" i="22" s="1"/>
  <c r="K23" i="22" s="1"/>
  <c r="L23" i="22" s="1"/>
  <c r="M23" i="22" s="1"/>
  <c r="N23" i="22" s="1"/>
  <c r="C31" i="22"/>
  <c r="D31" i="22" s="1"/>
  <c r="E31" i="22" s="1"/>
  <c r="F31" i="22" s="1"/>
  <c r="G31" i="22" s="1"/>
  <c r="H31" i="22" s="1"/>
  <c r="I31" i="22" s="1"/>
  <c r="J31" i="22" s="1"/>
  <c r="K31" i="22" s="1"/>
  <c r="L31" i="22" s="1"/>
  <c r="M31" i="22" s="1"/>
  <c r="N31" i="22" s="1"/>
  <c r="C8" i="25"/>
  <c r="D8" i="25" s="1"/>
  <c r="E8" i="25" s="1"/>
  <c r="F8" i="25" s="1"/>
  <c r="G8" i="25" s="1"/>
  <c r="H8" i="25" s="1"/>
  <c r="I8" i="25" s="1"/>
  <c r="J8" i="25" s="1"/>
  <c r="K8" i="25" s="1"/>
  <c r="L8" i="25" s="1"/>
  <c r="M8" i="25" s="1"/>
  <c r="N8" i="25" s="1"/>
  <c r="C21" i="25"/>
  <c r="D21" i="25" s="1"/>
  <c r="E21" i="25" s="1"/>
  <c r="F21" i="25" s="1"/>
  <c r="G21" i="25" s="1"/>
  <c r="H21" i="25" s="1"/>
  <c r="I21" i="25" s="1"/>
  <c r="J21" i="25" s="1"/>
  <c r="K21" i="25" s="1"/>
  <c r="L21" i="25" s="1"/>
  <c r="M21" i="25" s="1"/>
  <c r="N21" i="25" s="1"/>
  <c r="C27" i="25"/>
  <c r="D27" i="25" s="1"/>
  <c r="E27" i="25" s="1"/>
  <c r="F27" i="25" s="1"/>
  <c r="G27" i="25" s="1"/>
  <c r="H27" i="25" s="1"/>
  <c r="I27" i="25" s="1"/>
  <c r="J27" i="25" s="1"/>
  <c r="K27" i="25" s="1"/>
  <c r="L27" i="25" s="1"/>
  <c r="M27" i="25" s="1"/>
  <c r="N27" i="25" s="1"/>
  <c r="C34" i="25"/>
  <c r="D34" i="25" s="1"/>
  <c r="E34" i="25" s="1"/>
  <c r="F34" i="25" s="1"/>
  <c r="G34" i="25" s="1"/>
  <c r="H34" i="25" s="1"/>
  <c r="I34" i="25" s="1"/>
  <c r="J34" i="25" s="1"/>
  <c r="K34" i="25" s="1"/>
  <c r="L34" i="25" s="1"/>
  <c r="M34" i="25" s="1"/>
  <c r="N34" i="25" s="1"/>
  <c r="C9" i="30"/>
  <c r="D9" i="30" s="1"/>
  <c r="E9" i="30" s="1"/>
  <c r="F9" i="30" s="1"/>
  <c r="G9" i="30" s="1"/>
  <c r="H9" i="30" s="1"/>
  <c r="I9" i="30" s="1"/>
  <c r="J9" i="30" s="1"/>
  <c r="K9" i="30" s="1"/>
  <c r="L9" i="30" s="1"/>
  <c r="M9" i="30" s="1"/>
  <c r="N9" i="30" s="1"/>
  <c r="C17" i="30"/>
  <c r="D17" i="30" s="1"/>
  <c r="E17" i="30" s="1"/>
  <c r="F17" i="30" s="1"/>
  <c r="G17" i="30" s="1"/>
  <c r="H17" i="30" s="1"/>
  <c r="I17" i="30" s="1"/>
  <c r="J17" i="30" s="1"/>
  <c r="K17" i="30" s="1"/>
  <c r="L17" i="30" s="1"/>
  <c r="M17" i="30" s="1"/>
  <c r="N17" i="30" s="1"/>
  <c r="C25" i="30"/>
  <c r="D25" i="30" s="1"/>
  <c r="E25" i="30" s="1"/>
  <c r="F25" i="30" s="1"/>
  <c r="G25" i="30" s="1"/>
  <c r="H25" i="30" s="1"/>
  <c r="I25" i="30" s="1"/>
  <c r="J25" i="30" s="1"/>
  <c r="K25" i="30" s="1"/>
  <c r="L25" i="30" s="1"/>
  <c r="M25" i="30" s="1"/>
  <c r="N25" i="30" s="1"/>
  <c r="C33" i="30"/>
  <c r="D33" i="30" s="1"/>
  <c r="E33" i="30" s="1"/>
  <c r="F33" i="30" s="1"/>
  <c r="G33" i="30" s="1"/>
  <c r="H33" i="30" s="1"/>
  <c r="I33" i="30" s="1"/>
  <c r="J33" i="30" s="1"/>
  <c r="K33" i="30" s="1"/>
  <c r="L33" i="30" s="1"/>
  <c r="M33" i="30" s="1"/>
  <c r="N33" i="30" s="1"/>
  <c r="C7" i="42"/>
  <c r="D7" i="42" s="1"/>
  <c r="E7" i="42" s="1"/>
  <c r="F7" i="42" s="1"/>
  <c r="G7" i="42" s="1"/>
  <c r="H7" i="42" s="1"/>
  <c r="I7" i="42" s="1"/>
  <c r="J7" i="42" s="1"/>
  <c r="K7" i="42" s="1"/>
  <c r="L7" i="42" s="1"/>
  <c r="M7" i="42" s="1"/>
  <c r="N7" i="42" s="1"/>
  <c r="C11" i="42"/>
  <c r="D11" i="42" s="1"/>
  <c r="E11" i="42" s="1"/>
  <c r="F11" i="42" s="1"/>
  <c r="G11" i="42" s="1"/>
  <c r="H11" i="42" s="1"/>
  <c r="I11" i="42" s="1"/>
  <c r="J11" i="42" s="1"/>
  <c r="K11" i="42" s="1"/>
  <c r="L11" i="42" s="1"/>
  <c r="M11" i="42" s="1"/>
  <c r="N11" i="42" s="1"/>
  <c r="C15" i="42"/>
  <c r="D15" i="42" s="1"/>
  <c r="E15" i="42" s="1"/>
  <c r="F15" i="42" s="1"/>
  <c r="G15" i="42" s="1"/>
  <c r="H15" i="42" s="1"/>
  <c r="I15" i="42" s="1"/>
  <c r="J15" i="42" s="1"/>
  <c r="K15" i="42" s="1"/>
  <c r="L15" i="42" s="1"/>
  <c r="M15" i="42" s="1"/>
  <c r="N15" i="42" s="1"/>
  <c r="C19" i="42"/>
  <c r="D19" i="42" s="1"/>
  <c r="E19" i="42" s="1"/>
  <c r="F19" i="42" s="1"/>
  <c r="G19" i="42" s="1"/>
  <c r="H19" i="42" s="1"/>
  <c r="I19" i="42" s="1"/>
  <c r="J19" i="42" s="1"/>
  <c r="K19" i="42" s="1"/>
  <c r="L19" i="42" s="1"/>
  <c r="M19" i="42" s="1"/>
  <c r="N19" i="42" s="1"/>
  <c r="C23" i="42"/>
  <c r="D23" i="42" s="1"/>
  <c r="E23" i="42" s="1"/>
  <c r="F23" i="42" s="1"/>
  <c r="G23" i="42" s="1"/>
  <c r="H23" i="42" s="1"/>
  <c r="I23" i="42" s="1"/>
  <c r="J23" i="42" s="1"/>
  <c r="K23" i="42" s="1"/>
  <c r="L23" i="42" s="1"/>
  <c r="M23" i="42" s="1"/>
  <c r="N23" i="42" s="1"/>
  <c r="C27" i="42"/>
  <c r="D27" i="42" s="1"/>
  <c r="E27" i="42" s="1"/>
  <c r="F27" i="42" s="1"/>
  <c r="G27" i="42" s="1"/>
  <c r="H27" i="42" s="1"/>
  <c r="I27" i="42" s="1"/>
  <c r="J27" i="42" s="1"/>
  <c r="K27" i="42" s="1"/>
  <c r="L27" i="42" s="1"/>
  <c r="M27" i="42" s="1"/>
  <c r="N27" i="42" s="1"/>
  <c r="C31" i="42"/>
  <c r="D31" i="42" s="1"/>
  <c r="E31" i="42" s="1"/>
  <c r="F31" i="42" s="1"/>
  <c r="G31" i="42" s="1"/>
  <c r="H31" i="42" s="1"/>
  <c r="I31" i="42" s="1"/>
  <c r="J31" i="42" s="1"/>
  <c r="K31" i="42" s="1"/>
  <c r="L31" i="42" s="1"/>
  <c r="M31" i="42" s="1"/>
  <c r="N31" i="42" s="1"/>
  <c r="C8" i="45"/>
  <c r="D8" i="45" s="1"/>
  <c r="E8" i="45" s="1"/>
  <c r="F8" i="45" s="1"/>
  <c r="G8" i="45" s="1"/>
  <c r="H8" i="45" s="1"/>
  <c r="I8" i="45" s="1"/>
  <c r="J8" i="45" s="1"/>
  <c r="K8" i="45" s="1"/>
  <c r="L8" i="45" s="1"/>
  <c r="M8" i="45" s="1"/>
  <c r="N8" i="45" s="1"/>
  <c r="C16" i="45"/>
  <c r="D16" i="45" s="1"/>
  <c r="E16" i="45" s="1"/>
  <c r="F16" i="45" s="1"/>
  <c r="G16" i="45" s="1"/>
  <c r="H16" i="45" s="1"/>
  <c r="I16" i="45" s="1"/>
  <c r="J16" i="45" s="1"/>
  <c r="K16" i="45" s="1"/>
  <c r="L16" i="45" s="1"/>
  <c r="M16" i="45" s="1"/>
  <c r="N16" i="45" s="1"/>
  <c r="C24" i="45"/>
  <c r="D24" i="45" s="1"/>
  <c r="E24" i="45" s="1"/>
  <c r="F24" i="45" s="1"/>
  <c r="G24" i="45" s="1"/>
  <c r="H24" i="45" s="1"/>
  <c r="I24" i="45" s="1"/>
  <c r="J24" i="45" s="1"/>
  <c r="K24" i="45" s="1"/>
  <c r="L24" i="45" s="1"/>
  <c r="M24" i="45" s="1"/>
  <c r="N24" i="45" s="1"/>
  <c r="C32" i="45"/>
  <c r="D32" i="45" s="1"/>
  <c r="E32" i="45" s="1"/>
  <c r="F32" i="45" s="1"/>
  <c r="G32" i="45" s="1"/>
  <c r="H32" i="45" s="1"/>
  <c r="I32" i="45" s="1"/>
  <c r="J32" i="45" s="1"/>
  <c r="K32" i="45" s="1"/>
  <c r="L32" i="45" s="1"/>
  <c r="M32" i="45" s="1"/>
  <c r="N32" i="45" s="1"/>
  <c r="C8" i="48"/>
  <c r="D8" i="48" s="1"/>
  <c r="E8" i="48" s="1"/>
  <c r="F8" i="48" s="1"/>
  <c r="G8" i="48" s="1"/>
  <c r="H8" i="48" s="1"/>
  <c r="I8" i="48" s="1"/>
  <c r="J8" i="48" s="1"/>
  <c r="K8" i="48" s="1"/>
  <c r="L8" i="48" s="1"/>
  <c r="M8" i="48" s="1"/>
  <c r="N8" i="48" s="1"/>
  <c r="C16" i="48"/>
  <c r="D16" i="48" s="1"/>
  <c r="E16" i="48" s="1"/>
  <c r="F16" i="48" s="1"/>
  <c r="G16" i="48" s="1"/>
  <c r="H16" i="48" s="1"/>
  <c r="I16" i="48" s="1"/>
  <c r="J16" i="48" s="1"/>
  <c r="K16" i="48" s="1"/>
  <c r="L16" i="48" s="1"/>
  <c r="M16" i="48" s="1"/>
  <c r="N16" i="48" s="1"/>
  <c r="C24" i="48"/>
  <c r="D24" i="48" s="1"/>
  <c r="E24" i="48" s="1"/>
  <c r="F24" i="48" s="1"/>
  <c r="G24" i="48" s="1"/>
  <c r="H24" i="48" s="1"/>
  <c r="I24" i="48" s="1"/>
  <c r="J24" i="48" s="1"/>
  <c r="K24" i="48" s="1"/>
  <c r="L24" i="48" s="1"/>
  <c r="M24" i="48" s="1"/>
  <c r="N24" i="48" s="1"/>
  <c r="C32" i="48"/>
  <c r="D32" i="48" s="1"/>
  <c r="E32" i="48" s="1"/>
  <c r="F32" i="48" s="1"/>
  <c r="G32" i="48" s="1"/>
  <c r="H32" i="48" s="1"/>
  <c r="I32" i="48" s="1"/>
  <c r="J32" i="48" s="1"/>
  <c r="K32" i="48" s="1"/>
  <c r="L32" i="48" s="1"/>
  <c r="M32" i="48" s="1"/>
  <c r="N32" i="48" s="1"/>
  <c r="C8" i="51"/>
  <c r="D8" i="51" s="1"/>
  <c r="E8" i="51" s="1"/>
  <c r="F8" i="51" s="1"/>
  <c r="G8" i="51" s="1"/>
  <c r="H8" i="51" s="1"/>
  <c r="I8" i="51" s="1"/>
  <c r="J8" i="51" s="1"/>
  <c r="K8" i="51" s="1"/>
  <c r="L8" i="51" s="1"/>
  <c r="M8" i="51" s="1"/>
  <c r="N8" i="51" s="1"/>
  <c r="C14" i="51"/>
  <c r="D14" i="51" s="1"/>
  <c r="E14" i="51" s="1"/>
  <c r="F14" i="51" s="1"/>
  <c r="G14" i="51" s="1"/>
  <c r="H14" i="51" s="1"/>
  <c r="I14" i="51" s="1"/>
  <c r="J14" i="51" s="1"/>
  <c r="K14" i="51" s="1"/>
  <c r="L14" i="51" s="1"/>
  <c r="M14" i="51" s="1"/>
  <c r="N14" i="51" s="1"/>
  <c r="C19" i="51"/>
  <c r="D19" i="51" s="1"/>
  <c r="E19" i="51" s="1"/>
  <c r="F19" i="51" s="1"/>
  <c r="G19" i="51" s="1"/>
  <c r="H19" i="51" s="1"/>
  <c r="I19" i="51" s="1"/>
  <c r="J19" i="51" s="1"/>
  <c r="K19" i="51" s="1"/>
  <c r="L19" i="51" s="1"/>
  <c r="M19" i="51" s="1"/>
  <c r="N19" i="51" s="1"/>
  <c r="C27" i="51"/>
  <c r="D27" i="51" s="1"/>
  <c r="E27" i="51" s="1"/>
  <c r="F27" i="51" s="1"/>
  <c r="G27" i="51" s="1"/>
  <c r="H27" i="51" s="1"/>
  <c r="I27" i="51" s="1"/>
  <c r="J27" i="51" s="1"/>
  <c r="K27" i="51" s="1"/>
  <c r="L27" i="51" s="1"/>
  <c r="M27" i="51" s="1"/>
  <c r="N27" i="51" s="1"/>
  <c r="C33" i="51"/>
  <c r="D33" i="51" s="1"/>
  <c r="E33" i="51" s="1"/>
  <c r="F33" i="51" s="1"/>
  <c r="G33" i="51" s="1"/>
  <c r="H33" i="51" s="1"/>
  <c r="I33" i="51" s="1"/>
  <c r="J33" i="51" s="1"/>
  <c r="K33" i="51" s="1"/>
  <c r="L33" i="51" s="1"/>
  <c r="M33" i="51" s="1"/>
  <c r="N33" i="51" s="1"/>
  <c r="C12" i="54"/>
  <c r="D12" i="54" s="1"/>
  <c r="E12" i="54" s="1"/>
  <c r="F12" i="54" s="1"/>
  <c r="G12" i="54" s="1"/>
  <c r="H12" i="54" s="1"/>
  <c r="I12" i="54" s="1"/>
  <c r="J12" i="54" s="1"/>
  <c r="K12" i="54" s="1"/>
  <c r="L12" i="54" s="1"/>
  <c r="M12" i="54" s="1"/>
  <c r="N12" i="54" s="1"/>
  <c r="C20" i="54"/>
  <c r="D20" i="54" s="1"/>
  <c r="E20" i="54" s="1"/>
  <c r="F20" i="54" s="1"/>
  <c r="G20" i="54" s="1"/>
  <c r="H20" i="54" s="1"/>
  <c r="I20" i="54" s="1"/>
  <c r="J20" i="54" s="1"/>
  <c r="K20" i="54" s="1"/>
  <c r="L20" i="54" s="1"/>
  <c r="M20" i="54" s="1"/>
  <c r="N20" i="54" s="1"/>
  <c r="C28" i="54"/>
  <c r="D28" i="54" s="1"/>
  <c r="E28" i="54" s="1"/>
  <c r="F28" i="54" s="1"/>
  <c r="G28" i="54" s="1"/>
  <c r="H28" i="54" s="1"/>
  <c r="I28" i="54" s="1"/>
  <c r="J28" i="54" s="1"/>
  <c r="K28" i="54" s="1"/>
  <c r="L28" i="54" s="1"/>
  <c r="M28" i="54" s="1"/>
  <c r="N28" i="54" s="1"/>
  <c r="C35" i="54"/>
  <c r="D35" i="54" s="1"/>
  <c r="E35" i="54" s="1"/>
  <c r="F35" i="54" s="1"/>
  <c r="G35" i="54" s="1"/>
  <c r="H35" i="54" s="1"/>
  <c r="I35" i="54" s="1"/>
  <c r="J35" i="54" s="1"/>
  <c r="K35" i="54" s="1"/>
  <c r="L35" i="54" s="1"/>
  <c r="M35" i="54" s="1"/>
  <c r="N35" i="54" s="1"/>
  <c r="C12" i="57"/>
  <c r="D12" i="57" s="1"/>
  <c r="E12" i="57" s="1"/>
  <c r="F12" i="57" s="1"/>
  <c r="G12" i="57" s="1"/>
  <c r="H12" i="57" s="1"/>
  <c r="I12" i="57" s="1"/>
  <c r="J12" i="57" s="1"/>
  <c r="K12" i="57" s="1"/>
  <c r="L12" i="57" s="1"/>
  <c r="M12" i="57" s="1"/>
  <c r="N12" i="57" s="1"/>
  <c r="C20" i="57"/>
  <c r="D20" i="57" s="1"/>
  <c r="E20" i="57" s="1"/>
  <c r="F20" i="57" s="1"/>
  <c r="G20" i="57" s="1"/>
  <c r="H20" i="57" s="1"/>
  <c r="I20" i="57" s="1"/>
  <c r="J20" i="57" s="1"/>
  <c r="K20" i="57" s="1"/>
  <c r="L20" i="57" s="1"/>
  <c r="M20" i="57" s="1"/>
  <c r="N20" i="57" s="1"/>
  <c r="C28" i="57"/>
  <c r="D28" i="57" s="1"/>
  <c r="E28" i="57" s="1"/>
  <c r="F28" i="57" s="1"/>
  <c r="G28" i="57" s="1"/>
  <c r="H28" i="57" s="1"/>
  <c r="I28" i="57" s="1"/>
  <c r="J28" i="57" s="1"/>
  <c r="K28" i="57" s="1"/>
  <c r="L28" i="57" s="1"/>
  <c r="M28" i="57" s="1"/>
  <c r="N28" i="57" s="1"/>
  <c r="C35" i="57"/>
  <c r="D35" i="57" s="1"/>
  <c r="E35" i="57" s="1"/>
  <c r="F35" i="57" s="1"/>
  <c r="G35" i="57" s="1"/>
  <c r="H35" i="57" s="1"/>
  <c r="I35" i="57" s="1"/>
  <c r="J35" i="57" s="1"/>
  <c r="K35" i="57" s="1"/>
  <c r="L35" i="57" s="1"/>
  <c r="M35" i="57" s="1"/>
  <c r="N35" i="57" s="1"/>
  <c r="C5" i="16"/>
  <c r="D5" i="16" s="1"/>
  <c r="C9" i="16"/>
  <c r="D9" i="16" s="1"/>
  <c r="E9" i="16" s="1"/>
  <c r="F9" i="16" s="1"/>
  <c r="G9" i="16" s="1"/>
  <c r="H9" i="16" s="1"/>
  <c r="I9" i="16" s="1"/>
  <c r="J9" i="16" s="1"/>
  <c r="K9" i="16" s="1"/>
  <c r="L9" i="16" s="1"/>
  <c r="M9" i="16" s="1"/>
  <c r="N9" i="16" s="1"/>
  <c r="C13" i="16"/>
  <c r="D13" i="16" s="1"/>
  <c r="E13" i="16" s="1"/>
  <c r="F13" i="16" s="1"/>
  <c r="G13" i="16" s="1"/>
  <c r="H13" i="16" s="1"/>
  <c r="I13" i="16" s="1"/>
  <c r="J13" i="16" s="1"/>
  <c r="K13" i="16" s="1"/>
  <c r="L13" i="16" s="1"/>
  <c r="M13" i="16" s="1"/>
  <c r="N13" i="16" s="1"/>
  <c r="C17" i="16"/>
  <c r="D17" i="16" s="1"/>
  <c r="E17" i="16" s="1"/>
  <c r="F17" i="16" s="1"/>
  <c r="G17" i="16" s="1"/>
  <c r="H17" i="16" s="1"/>
  <c r="I17" i="16" s="1"/>
  <c r="J17" i="16" s="1"/>
  <c r="K17" i="16" s="1"/>
  <c r="L17" i="16" s="1"/>
  <c r="M17" i="16" s="1"/>
  <c r="N17" i="16" s="1"/>
  <c r="C21" i="16"/>
  <c r="D21" i="16" s="1"/>
  <c r="E21" i="16" s="1"/>
  <c r="F21" i="16" s="1"/>
  <c r="G21" i="16" s="1"/>
  <c r="H21" i="16" s="1"/>
  <c r="I21" i="16" s="1"/>
  <c r="J21" i="16" s="1"/>
  <c r="K21" i="16" s="1"/>
  <c r="L21" i="16" s="1"/>
  <c r="M21" i="16" s="1"/>
  <c r="N21" i="16" s="1"/>
  <c r="C25" i="16"/>
  <c r="D25" i="16" s="1"/>
  <c r="E25" i="16" s="1"/>
  <c r="F25" i="16" s="1"/>
  <c r="G25" i="16" s="1"/>
  <c r="H25" i="16" s="1"/>
  <c r="I25" i="16" s="1"/>
  <c r="J25" i="16" s="1"/>
  <c r="K25" i="16" s="1"/>
  <c r="L25" i="16" s="1"/>
  <c r="M25" i="16" s="1"/>
  <c r="N25" i="16" s="1"/>
  <c r="C29" i="16"/>
  <c r="D29" i="16" s="1"/>
  <c r="E29" i="16" s="1"/>
  <c r="F29" i="16" s="1"/>
  <c r="G29" i="16" s="1"/>
  <c r="H29" i="16" s="1"/>
  <c r="I29" i="16" s="1"/>
  <c r="J29" i="16" s="1"/>
  <c r="K29" i="16" s="1"/>
  <c r="L29" i="16" s="1"/>
  <c r="M29" i="16" s="1"/>
  <c r="N29" i="16" s="1"/>
  <c r="C36" i="16"/>
  <c r="D36" i="16" s="1"/>
  <c r="E36" i="16" s="1"/>
  <c r="F36" i="16" s="1"/>
  <c r="G36" i="16" s="1"/>
  <c r="H36" i="16" s="1"/>
  <c r="I36" i="16" s="1"/>
  <c r="J36" i="16" s="1"/>
  <c r="K36" i="16" s="1"/>
  <c r="L36" i="16" s="1"/>
  <c r="M36" i="16" s="1"/>
  <c r="N36" i="16" s="1"/>
  <c r="C5" i="19"/>
  <c r="C9" i="19"/>
  <c r="D9" i="19" s="1"/>
  <c r="E9" i="19" s="1"/>
  <c r="F9" i="19" s="1"/>
  <c r="G9" i="19" s="1"/>
  <c r="H9" i="19" s="1"/>
  <c r="I9" i="19" s="1"/>
  <c r="J9" i="19" s="1"/>
  <c r="K9" i="19" s="1"/>
  <c r="L9" i="19" s="1"/>
  <c r="M9" i="19" s="1"/>
  <c r="N9" i="19" s="1"/>
  <c r="C13" i="19"/>
  <c r="D13" i="19" s="1"/>
  <c r="E13" i="19" s="1"/>
  <c r="F13" i="19" s="1"/>
  <c r="G13" i="19" s="1"/>
  <c r="H13" i="19" s="1"/>
  <c r="I13" i="19" s="1"/>
  <c r="J13" i="19" s="1"/>
  <c r="K13" i="19" s="1"/>
  <c r="L13" i="19" s="1"/>
  <c r="M13" i="19" s="1"/>
  <c r="N13" i="19" s="1"/>
  <c r="C17" i="19"/>
  <c r="D17" i="19" s="1"/>
  <c r="E17" i="19" s="1"/>
  <c r="F17" i="19" s="1"/>
  <c r="G17" i="19" s="1"/>
  <c r="H17" i="19" s="1"/>
  <c r="I17" i="19" s="1"/>
  <c r="J17" i="19" s="1"/>
  <c r="K17" i="19" s="1"/>
  <c r="L17" i="19" s="1"/>
  <c r="M17" i="19" s="1"/>
  <c r="N17" i="19" s="1"/>
  <c r="C21" i="19"/>
  <c r="D21" i="19" s="1"/>
  <c r="E21" i="19" s="1"/>
  <c r="F21" i="19" s="1"/>
  <c r="G21" i="19" s="1"/>
  <c r="H21" i="19" s="1"/>
  <c r="I21" i="19" s="1"/>
  <c r="J21" i="19" s="1"/>
  <c r="K21" i="19" s="1"/>
  <c r="L21" i="19" s="1"/>
  <c r="M21" i="19" s="1"/>
  <c r="N21" i="19" s="1"/>
  <c r="C25" i="19"/>
  <c r="D25" i="19" s="1"/>
  <c r="E25" i="19" s="1"/>
  <c r="F25" i="19" s="1"/>
  <c r="G25" i="19" s="1"/>
  <c r="H25" i="19" s="1"/>
  <c r="I25" i="19" s="1"/>
  <c r="J25" i="19" s="1"/>
  <c r="K25" i="19" s="1"/>
  <c r="L25" i="19" s="1"/>
  <c r="M25" i="19" s="1"/>
  <c r="N25" i="19" s="1"/>
  <c r="C29" i="19"/>
  <c r="D29" i="19" s="1"/>
  <c r="E29" i="19" s="1"/>
  <c r="F29" i="19" s="1"/>
  <c r="G29" i="19" s="1"/>
  <c r="H29" i="19" s="1"/>
  <c r="I29" i="19" s="1"/>
  <c r="J29" i="19" s="1"/>
  <c r="K29" i="19" s="1"/>
  <c r="L29" i="19" s="1"/>
  <c r="M29" i="19" s="1"/>
  <c r="N29" i="19" s="1"/>
  <c r="C36" i="19"/>
  <c r="D36" i="19" s="1"/>
  <c r="E36" i="19" s="1"/>
  <c r="F36" i="19" s="1"/>
  <c r="G36" i="19" s="1"/>
  <c r="H36" i="19" s="1"/>
  <c r="I36" i="19" s="1"/>
  <c r="J36" i="19" s="1"/>
  <c r="K36" i="19" s="1"/>
  <c r="L36" i="19" s="1"/>
  <c r="M36" i="19" s="1"/>
  <c r="N36" i="19" s="1"/>
  <c r="C5" i="22"/>
  <c r="D5" i="22" s="1"/>
  <c r="C9" i="22"/>
  <c r="D9" i="22" s="1"/>
  <c r="E9" i="22" s="1"/>
  <c r="F9" i="22" s="1"/>
  <c r="G9" i="22" s="1"/>
  <c r="H9" i="22" s="1"/>
  <c r="I9" i="22" s="1"/>
  <c r="J9" i="22" s="1"/>
  <c r="K9" i="22" s="1"/>
  <c r="L9" i="22" s="1"/>
  <c r="M9" i="22" s="1"/>
  <c r="N9" i="22" s="1"/>
  <c r="C13" i="22"/>
  <c r="D13" i="22" s="1"/>
  <c r="E13" i="22" s="1"/>
  <c r="F13" i="22" s="1"/>
  <c r="G13" i="22" s="1"/>
  <c r="H13" i="22" s="1"/>
  <c r="I13" i="22" s="1"/>
  <c r="J13" i="22" s="1"/>
  <c r="K13" i="22" s="1"/>
  <c r="L13" i="22" s="1"/>
  <c r="M13" i="22" s="1"/>
  <c r="N13" i="22" s="1"/>
  <c r="C17" i="22"/>
  <c r="D17" i="22" s="1"/>
  <c r="E17" i="22" s="1"/>
  <c r="F17" i="22" s="1"/>
  <c r="G17" i="22" s="1"/>
  <c r="H17" i="22" s="1"/>
  <c r="I17" i="22" s="1"/>
  <c r="J17" i="22" s="1"/>
  <c r="K17" i="22" s="1"/>
  <c r="L17" i="22" s="1"/>
  <c r="M17" i="22" s="1"/>
  <c r="N17" i="22" s="1"/>
  <c r="C21" i="22"/>
  <c r="D21" i="22" s="1"/>
  <c r="E21" i="22" s="1"/>
  <c r="F21" i="22" s="1"/>
  <c r="G21" i="22" s="1"/>
  <c r="H21" i="22" s="1"/>
  <c r="I21" i="22" s="1"/>
  <c r="J21" i="22" s="1"/>
  <c r="K21" i="22" s="1"/>
  <c r="L21" i="22" s="1"/>
  <c r="M21" i="22" s="1"/>
  <c r="N21" i="22" s="1"/>
  <c r="C25" i="22"/>
  <c r="D25" i="22" s="1"/>
  <c r="E25" i="22" s="1"/>
  <c r="F25" i="22" s="1"/>
  <c r="G25" i="22" s="1"/>
  <c r="H25" i="22" s="1"/>
  <c r="I25" i="22" s="1"/>
  <c r="J25" i="22" s="1"/>
  <c r="K25" i="22" s="1"/>
  <c r="L25" i="22" s="1"/>
  <c r="M25" i="22" s="1"/>
  <c r="N25" i="22" s="1"/>
  <c r="C29" i="22"/>
  <c r="D29" i="22" s="1"/>
  <c r="E29" i="22" s="1"/>
  <c r="F29" i="22" s="1"/>
  <c r="G29" i="22" s="1"/>
  <c r="H29" i="22" s="1"/>
  <c r="I29" i="22" s="1"/>
  <c r="J29" i="22" s="1"/>
  <c r="K29" i="22" s="1"/>
  <c r="L29" i="22" s="1"/>
  <c r="M29" i="22" s="1"/>
  <c r="N29" i="22" s="1"/>
  <c r="C36" i="22"/>
  <c r="D36" i="22" s="1"/>
  <c r="E36" i="22" s="1"/>
  <c r="F36" i="22" s="1"/>
  <c r="G36" i="22" s="1"/>
  <c r="H36" i="22" s="1"/>
  <c r="I36" i="22" s="1"/>
  <c r="J36" i="22" s="1"/>
  <c r="K36" i="22" s="1"/>
  <c r="L36" i="22" s="1"/>
  <c r="M36" i="22" s="1"/>
  <c r="N36" i="22" s="1"/>
  <c r="C6" i="25"/>
  <c r="D6" i="25" s="1"/>
  <c r="E6" i="25" s="1"/>
  <c r="F6" i="25" s="1"/>
  <c r="G6" i="25" s="1"/>
  <c r="H6" i="25" s="1"/>
  <c r="I6" i="25" s="1"/>
  <c r="J6" i="25" s="1"/>
  <c r="K6" i="25" s="1"/>
  <c r="L6" i="25" s="1"/>
  <c r="M6" i="25" s="1"/>
  <c r="N6" i="25" s="1"/>
  <c r="C13" i="25"/>
  <c r="C19" i="25"/>
  <c r="D19" i="25" s="1"/>
  <c r="E19" i="25" s="1"/>
  <c r="F19" i="25" s="1"/>
  <c r="G19" i="25" s="1"/>
  <c r="H19" i="25" s="1"/>
  <c r="I19" i="25" s="1"/>
  <c r="J19" i="25" s="1"/>
  <c r="K19" i="25" s="1"/>
  <c r="L19" i="25" s="1"/>
  <c r="M19" i="25" s="1"/>
  <c r="N19" i="25" s="1"/>
  <c r="C23" i="25"/>
  <c r="D23" i="25" s="1"/>
  <c r="E23" i="25" s="1"/>
  <c r="F23" i="25" s="1"/>
  <c r="G23" i="25" s="1"/>
  <c r="H23" i="25" s="1"/>
  <c r="I23" i="25" s="1"/>
  <c r="J23" i="25" s="1"/>
  <c r="K23" i="25" s="1"/>
  <c r="L23" i="25" s="1"/>
  <c r="M23" i="25" s="1"/>
  <c r="N23" i="25" s="1"/>
  <c r="C25" i="25"/>
  <c r="D25" i="25" s="1"/>
  <c r="E25" i="25" s="1"/>
  <c r="F25" i="25" s="1"/>
  <c r="G25" i="25" s="1"/>
  <c r="H25" i="25" s="1"/>
  <c r="I25" i="25" s="1"/>
  <c r="J25" i="25" s="1"/>
  <c r="K25" i="25" s="1"/>
  <c r="L25" i="25" s="1"/>
  <c r="M25" i="25" s="1"/>
  <c r="N25" i="25" s="1"/>
  <c r="C29" i="25"/>
  <c r="D29" i="25" s="1"/>
  <c r="E29" i="25" s="1"/>
  <c r="F29" i="25" s="1"/>
  <c r="G29" i="25" s="1"/>
  <c r="H29" i="25" s="1"/>
  <c r="I29" i="25" s="1"/>
  <c r="J29" i="25" s="1"/>
  <c r="K29" i="25" s="1"/>
  <c r="L29" i="25" s="1"/>
  <c r="M29" i="25" s="1"/>
  <c r="N29" i="25" s="1"/>
  <c r="C33" i="25"/>
  <c r="D33" i="25" s="1"/>
  <c r="E33" i="25" s="1"/>
  <c r="F33" i="25" s="1"/>
  <c r="G33" i="25" s="1"/>
  <c r="H33" i="25" s="1"/>
  <c r="I33" i="25" s="1"/>
  <c r="J33" i="25" s="1"/>
  <c r="K33" i="25" s="1"/>
  <c r="L33" i="25" s="1"/>
  <c r="M33" i="25" s="1"/>
  <c r="N33" i="25" s="1"/>
  <c r="C35" i="25"/>
  <c r="D35" i="25" s="1"/>
  <c r="E35" i="25" s="1"/>
  <c r="F35" i="25" s="1"/>
  <c r="G35" i="25" s="1"/>
  <c r="H35" i="25" s="1"/>
  <c r="I35" i="25" s="1"/>
  <c r="J35" i="25" s="1"/>
  <c r="K35" i="25" s="1"/>
  <c r="L35" i="25" s="1"/>
  <c r="M35" i="25" s="1"/>
  <c r="N35" i="25" s="1"/>
  <c r="C7" i="30"/>
  <c r="D7" i="30" s="1"/>
  <c r="E7" i="30" s="1"/>
  <c r="F7" i="30" s="1"/>
  <c r="G7" i="30" s="1"/>
  <c r="H7" i="30" s="1"/>
  <c r="I7" i="30" s="1"/>
  <c r="J7" i="30" s="1"/>
  <c r="K7" i="30" s="1"/>
  <c r="L7" i="30" s="1"/>
  <c r="M7" i="30" s="1"/>
  <c r="N7" i="30" s="1"/>
  <c r="C11" i="30"/>
  <c r="D11" i="30" s="1"/>
  <c r="E11" i="30" s="1"/>
  <c r="F11" i="30" s="1"/>
  <c r="G11" i="30" s="1"/>
  <c r="H11" i="30" s="1"/>
  <c r="I11" i="30" s="1"/>
  <c r="J11" i="30" s="1"/>
  <c r="K11" i="30" s="1"/>
  <c r="L11" i="30" s="1"/>
  <c r="M11" i="30" s="1"/>
  <c r="N11" i="30" s="1"/>
  <c r="C15" i="30"/>
  <c r="D15" i="30" s="1"/>
  <c r="E15" i="30" s="1"/>
  <c r="F15" i="30" s="1"/>
  <c r="G15" i="30" s="1"/>
  <c r="H15" i="30" s="1"/>
  <c r="I15" i="30" s="1"/>
  <c r="J15" i="30" s="1"/>
  <c r="K15" i="30" s="1"/>
  <c r="L15" i="30" s="1"/>
  <c r="M15" i="30" s="1"/>
  <c r="N15" i="30" s="1"/>
  <c r="C19" i="30"/>
  <c r="D19" i="30" s="1"/>
  <c r="E19" i="30" s="1"/>
  <c r="F19" i="30" s="1"/>
  <c r="G19" i="30" s="1"/>
  <c r="H19" i="30" s="1"/>
  <c r="I19" i="30" s="1"/>
  <c r="J19" i="30" s="1"/>
  <c r="K19" i="30" s="1"/>
  <c r="L19" i="30" s="1"/>
  <c r="M19" i="30" s="1"/>
  <c r="N19" i="30" s="1"/>
  <c r="C23" i="30"/>
  <c r="D23" i="30" s="1"/>
  <c r="E23" i="30" s="1"/>
  <c r="F23" i="30" s="1"/>
  <c r="G23" i="30" s="1"/>
  <c r="H23" i="30" s="1"/>
  <c r="I23" i="30" s="1"/>
  <c r="J23" i="30" s="1"/>
  <c r="K23" i="30" s="1"/>
  <c r="L23" i="30" s="1"/>
  <c r="M23" i="30" s="1"/>
  <c r="N23" i="30" s="1"/>
  <c r="C27" i="30"/>
  <c r="D27" i="30" s="1"/>
  <c r="E27" i="30" s="1"/>
  <c r="F27" i="30" s="1"/>
  <c r="G27" i="30" s="1"/>
  <c r="H27" i="30" s="1"/>
  <c r="I27" i="30" s="1"/>
  <c r="J27" i="30" s="1"/>
  <c r="K27" i="30" s="1"/>
  <c r="L27" i="30" s="1"/>
  <c r="M27" i="30" s="1"/>
  <c r="N27" i="30" s="1"/>
  <c r="C31" i="30"/>
  <c r="D31" i="30" s="1"/>
  <c r="E31" i="30" s="1"/>
  <c r="F31" i="30" s="1"/>
  <c r="G31" i="30" s="1"/>
  <c r="H31" i="30" s="1"/>
  <c r="I31" i="30" s="1"/>
  <c r="J31" i="30" s="1"/>
  <c r="K31" i="30" s="1"/>
  <c r="L31" i="30" s="1"/>
  <c r="M31" i="30" s="1"/>
  <c r="N31" i="30" s="1"/>
  <c r="C35" i="30"/>
  <c r="D35" i="30" s="1"/>
  <c r="E35" i="30" s="1"/>
  <c r="F35" i="30" s="1"/>
  <c r="G35" i="30" s="1"/>
  <c r="H35" i="30" s="1"/>
  <c r="I35" i="30" s="1"/>
  <c r="J35" i="30" s="1"/>
  <c r="K35" i="30" s="1"/>
  <c r="L35" i="30" s="1"/>
  <c r="M35" i="30" s="1"/>
  <c r="N35" i="30" s="1"/>
  <c r="C6" i="42"/>
  <c r="D6" i="42" s="1"/>
  <c r="E6" i="42" s="1"/>
  <c r="F6" i="42" s="1"/>
  <c r="G6" i="42" s="1"/>
  <c r="H6" i="42" s="1"/>
  <c r="I6" i="42" s="1"/>
  <c r="J6" i="42" s="1"/>
  <c r="K6" i="42" s="1"/>
  <c r="L6" i="42" s="1"/>
  <c r="M6" i="42" s="1"/>
  <c r="N6" i="42" s="1"/>
  <c r="C8" i="42"/>
  <c r="D8" i="42" s="1"/>
  <c r="E8" i="42" s="1"/>
  <c r="F8" i="42" s="1"/>
  <c r="G8" i="42" s="1"/>
  <c r="H8" i="42" s="1"/>
  <c r="I8" i="42" s="1"/>
  <c r="J8" i="42" s="1"/>
  <c r="K8" i="42" s="1"/>
  <c r="L8" i="42" s="1"/>
  <c r="M8" i="42" s="1"/>
  <c r="N8" i="42" s="1"/>
  <c r="C10" i="42"/>
  <c r="D10" i="42" s="1"/>
  <c r="E10" i="42" s="1"/>
  <c r="F10" i="42" s="1"/>
  <c r="G10" i="42" s="1"/>
  <c r="H10" i="42" s="1"/>
  <c r="I10" i="42" s="1"/>
  <c r="J10" i="42" s="1"/>
  <c r="K10" i="42" s="1"/>
  <c r="L10" i="42" s="1"/>
  <c r="M10" i="42" s="1"/>
  <c r="N10" i="42" s="1"/>
  <c r="C12" i="42"/>
  <c r="D12" i="42" s="1"/>
  <c r="E12" i="42" s="1"/>
  <c r="F12" i="42" s="1"/>
  <c r="G12" i="42" s="1"/>
  <c r="H12" i="42" s="1"/>
  <c r="I12" i="42" s="1"/>
  <c r="J12" i="42" s="1"/>
  <c r="K12" i="42" s="1"/>
  <c r="L12" i="42" s="1"/>
  <c r="M12" i="42" s="1"/>
  <c r="N12" i="42" s="1"/>
  <c r="C14" i="42"/>
  <c r="D14" i="42" s="1"/>
  <c r="E14" i="42" s="1"/>
  <c r="F14" i="42" s="1"/>
  <c r="G14" i="42" s="1"/>
  <c r="H14" i="42" s="1"/>
  <c r="I14" i="42" s="1"/>
  <c r="J14" i="42" s="1"/>
  <c r="K14" i="42" s="1"/>
  <c r="L14" i="42" s="1"/>
  <c r="M14" i="42" s="1"/>
  <c r="N14" i="42" s="1"/>
  <c r="C16" i="42"/>
  <c r="D16" i="42" s="1"/>
  <c r="E16" i="42" s="1"/>
  <c r="F16" i="42" s="1"/>
  <c r="G16" i="42" s="1"/>
  <c r="H16" i="42" s="1"/>
  <c r="I16" i="42" s="1"/>
  <c r="J16" i="42" s="1"/>
  <c r="K16" i="42" s="1"/>
  <c r="L16" i="42" s="1"/>
  <c r="M16" i="42" s="1"/>
  <c r="N16" i="42" s="1"/>
  <c r="C18" i="42"/>
  <c r="D18" i="42" s="1"/>
  <c r="E18" i="42" s="1"/>
  <c r="F18" i="42" s="1"/>
  <c r="G18" i="42" s="1"/>
  <c r="H18" i="42" s="1"/>
  <c r="I18" i="42" s="1"/>
  <c r="J18" i="42" s="1"/>
  <c r="K18" i="42" s="1"/>
  <c r="L18" i="42" s="1"/>
  <c r="M18" i="42" s="1"/>
  <c r="N18" i="42" s="1"/>
  <c r="C20" i="42"/>
  <c r="D20" i="42" s="1"/>
  <c r="E20" i="42" s="1"/>
  <c r="F20" i="42" s="1"/>
  <c r="G20" i="42" s="1"/>
  <c r="H20" i="42" s="1"/>
  <c r="I20" i="42" s="1"/>
  <c r="J20" i="42" s="1"/>
  <c r="K20" i="42" s="1"/>
  <c r="L20" i="42" s="1"/>
  <c r="M20" i="42" s="1"/>
  <c r="N20" i="42" s="1"/>
  <c r="C22" i="42"/>
  <c r="D22" i="42" s="1"/>
  <c r="E22" i="42" s="1"/>
  <c r="F22" i="42" s="1"/>
  <c r="G22" i="42" s="1"/>
  <c r="H22" i="42" s="1"/>
  <c r="I22" i="42" s="1"/>
  <c r="J22" i="42" s="1"/>
  <c r="K22" i="42" s="1"/>
  <c r="L22" i="42" s="1"/>
  <c r="M22" i="42" s="1"/>
  <c r="N22" i="42" s="1"/>
  <c r="C24" i="42"/>
  <c r="D24" i="42" s="1"/>
  <c r="E24" i="42" s="1"/>
  <c r="F24" i="42" s="1"/>
  <c r="G24" i="42" s="1"/>
  <c r="H24" i="42" s="1"/>
  <c r="I24" i="42" s="1"/>
  <c r="J24" i="42" s="1"/>
  <c r="K24" i="42" s="1"/>
  <c r="L24" i="42" s="1"/>
  <c r="M24" i="42" s="1"/>
  <c r="N24" i="42" s="1"/>
  <c r="C26" i="42"/>
  <c r="D26" i="42" s="1"/>
  <c r="E26" i="42" s="1"/>
  <c r="F26" i="42" s="1"/>
  <c r="G26" i="42" s="1"/>
  <c r="H26" i="42" s="1"/>
  <c r="I26" i="42" s="1"/>
  <c r="J26" i="42" s="1"/>
  <c r="K26" i="42" s="1"/>
  <c r="L26" i="42" s="1"/>
  <c r="M26" i="42" s="1"/>
  <c r="N26" i="42" s="1"/>
  <c r="C28" i="42"/>
  <c r="D28" i="42" s="1"/>
  <c r="E28" i="42" s="1"/>
  <c r="F28" i="42" s="1"/>
  <c r="G28" i="42" s="1"/>
  <c r="H28" i="42" s="1"/>
  <c r="I28" i="42" s="1"/>
  <c r="J28" i="42" s="1"/>
  <c r="K28" i="42" s="1"/>
  <c r="L28" i="42" s="1"/>
  <c r="M28" i="42" s="1"/>
  <c r="N28" i="42" s="1"/>
  <c r="C30" i="42"/>
  <c r="D30" i="42" s="1"/>
  <c r="E30" i="42" s="1"/>
  <c r="F30" i="42" s="1"/>
  <c r="G30" i="42" s="1"/>
  <c r="H30" i="42" s="1"/>
  <c r="I30" i="42" s="1"/>
  <c r="J30" i="42" s="1"/>
  <c r="K30" i="42" s="1"/>
  <c r="L30" i="42" s="1"/>
  <c r="M30" i="42" s="1"/>
  <c r="N30" i="42" s="1"/>
  <c r="C32" i="42"/>
  <c r="D32" i="42" s="1"/>
  <c r="E32" i="42" s="1"/>
  <c r="F32" i="42" s="1"/>
  <c r="G32" i="42" s="1"/>
  <c r="H32" i="42" s="1"/>
  <c r="I32" i="42" s="1"/>
  <c r="J32" i="42" s="1"/>
  <c r="K32" i="42" s="1"/>
  <c r="L32" i="42" s="1"/>
  <c r="M32" i="42" s="1"/>
  <c r="N32" i="42" s="1"/>
  <c r="C6" i="45"/>
  <c r="D6" i="45" s="1"/>
  <c r="E6" i="45" s="1"/>
  <c r="F6" i="45" s="1"/>
  <c r="G6" i="45" s="1"/>
  <c r="H6" i="45" s="1"/>
  <c r="I6" i="45" s="1"/>
  <c r="J6" i="45" s="1"/>
  <c r="K6" i="45" s="1"/>
  <c r="L6" i="45" s="1"/>
  <c r="M6" i="45" s="1"/>
  <c r="N6" i="45" s="1"/>
  <c r="C10" i="45"/>
  <c r="D10" i="45" s="1"/>
  <c r="E10" i="45" s="1"/>
  <c r="F10" i="45" s="1"/>
  <c r="G10" i="45" s="1"/>
  <c r="H10" i="45" s="1"/>
  <c r="I10" i="45" s="1"/>
  <c r="J10" i="45" s="1"/>
  <c r="K10" i="45" s="1"/>
  <c r="L10" i="45" s="1"/>
  <c r="M10" i="45" s="1"/>
  <c r="N10" i="45" s="1"/>
  <c r="C14" i="45"/>
  <c r="D14" i="45" s="1"/>
  <c r="E14" i="45" s="1"/>
  <c r="F14" i="45" s="1"/>
  <c r="G14" i="45" s="1"/>
  <c r="H14" i="45" s="1"/>
  <c r="I14" i="45" s="1"/>
  <c r="J14" i="45" s="1"/>
  <c r="K14" i="45" s="1"/>
  <c r="L14" i="45" s="1"/>
  <c r="M14" i="45" s="1"/>
  <c r="N14" i="45" s="1"/>
  <c r="C18" i="45"/>
  <c r="D18" i="45" s="1"/>
  <c r="E18" i="45" s="1"/>
  <c r="F18" i="45" s="1"/>
  <c r="G18" i="45" s="1"/>
  <c r="H18" i="45" s="1"/>
  <c r="I18" i="45" s="1"/>
  <c r="J18" i="45" s="1"/>
  <c r="K18" i="45" s="1"/>
  <c r="L18" i="45" s="1"/>
  <c r="M18" i="45" s="1"/>
  <c r="N18" i="45" s="1"/>
  <c r="C22" i="45"/>
  <c r="D22" i="45" s="1"/>
  <c r="E22" i="45" s="1"/>
  <c r="F22" i="45" s="1"/>
  <c r="G22" i="45" s="1"/>
  <c r="H22" i="45" s="1"/>
  <c r="I22" i="45" s="1"/>
  <c r="J22" i="45" s="1"/>
  <c r="K22" i="45" s="1"/>
  <c r="L22" i="45" s="1"/>
  <c r="M22" i="45" s="1"/>
  <c r="N22" i="45" s="1"/>
  <c r="C26" i="45"/>
  <c r="D26" i="45" s="1"/>
  <c r="E26" i="45" s="1"/>
  <c r="F26" i="45" s="1"/>
  <c r="G26" i="45" s="1"/>
  <c r="H26" i="45" s="1"/>
  <c r="I26" i="45" s="1"/>
  <c r="J26" i="45" s="1"/>
  <c r="K26" i="45" s="1"/>
  <c r="L26" i="45" s="1"/>
  <c r="M26" i="45" s="1"/>
  <c r="N26" i="45" s="1"/>
  <c r="C30" i="45"/>
  <c r="D30" i="45" s="1"/>
  <c r="E30" i="45" s="1"/>
  <c r="F30" i="45" s="1"/>
  <c r="G30" i="45" s="1"/>
  <c r="H30" i="45" s="1"/>
  <c r="I30" i="45" s="1"/>
  <c r="J30" i="45" s="1"/>
  <c r="K30" i="45" s="1"/>
  <c r="L30" i="45" s="1"/>
  <c r="M30" i="45" s="1"/>
  <c r="N30" i="45" s="1"/>
  <c r="C34" i="45"/>
  <c r="D34" i="45" s="1"/>
  <c r="E34" i="45" s="1"/>
  <c r="F34" i="45" s="1"/>
  <c r="G34" i="45" s="1"/>
  <c r="H34" i="45" s="1"/>
  <c r="I34" i="45" s="1"/>
  <c r="J34" i="45" s="1"/>
  <c r="K34" i="45" s="1"/>
  <c r="L34" i="45" s="1"/>
  <c r="M34" i="45" s="1"/>
  <c r="N34" i="45" s="1"/>
  <c r="C6" i="48"/>
  <c r="D6" i="48" s="1"/>
  <c r="E6" i="48" s="1"/>
  <c r="F6" i="48" s="1"/>
  <c r="G6" i="48" s="1"/>
  <c r="H6" i="48" s="1"/>
  <c r="I6" i="48" s="1"/>
  <c r="J6" i="48" s="1"/>
  <c r="K6" i="48" s="1"/>
  <c r="L6" i="48" s="1"/>
  <c r="M6" i="48" s="1"/>
  <c r="N6" i="48" s="1"/>
  <c r="C10" i="48"/>
  <c r="D10" i="48" s="1"/>
  <c r="E10" i="48" s="1"/>
  <c r="F10" i="48" s="1"/>
  <c r="G10" i="48" s="1"/>
  <c r="H10" i="48" s="1"/>
  <c r="I10" i="48" s="1"/>
  <c r="J10" i="48" s="1"/>
  <c r="K10" i="48" s="1"/>
  <c r="L10" i="48" s="1"/>
  <c r="M10" i="48" s="1"/>
  <c r="N10" i="48" s="1"/>
  <c r="C14" i="48"/>
  <c r="D14" i="48" s="1"/>
  <c r="E14" i="48" s="1"/>
  <c r="F14" i="48" s="1"/>
  <c r="G14" i="48" s="1"/>
  <c r="H14" i="48" s="1"/>
  <c r="I14" i="48" s="1"/>
  <c r="J14" i="48" s="1"/>
  <c r="K14" i="48" s="1"/>
  <c r="L14" i="48" s="1"/>
  <c r="M14" i="48" s="1"/>
  <c r="N14" i="48" s="1"/>
  <c r="C18" i="48"/>
  <c r="D18" i="48" s="1"/>
  <c r="E18" i="48" s="1"/>
  <c r="F18" i="48" s="1"/>
  <c r="G18" i="48" s="1"/>
  <c r="H18" i="48" s="1"/>
  <c r="I18" i="48" s="1"/>
  <c r="J18" i="48" s="1"/>
  <c r="K18" i="48" s="1"/>
  <c r="L18" i="48" s="1"/>
  <c r="M18" i="48" s="1"/>
  <c r="N18" i="48" s="1"/>
  <c r="C22" i="48"/>
  <c r="D22" i="48" s="1"/>
  <c r="E22" i="48" s="1"/>
  <c r="F22" i="48" s="1"/>
  <c r="G22" i="48" s="1"/>
  <c r="H22" i="48" s="1"/>
  <c r="I22" i="48" s="1"/>
  <c r="J22" i="48" s="1"/>
  <c r="K22" i="48" s="1"/>
  <c r="L22" i="48" s="1"/>
  <c r="M22" i="48" s="1"/>
  <c r="N22" i="48" s="1"/>
  <c r="C26" i="48"/>
  <c r="D26" i="48" s="1"/>
  <c r="E26" i="48" s="1"/>
  <c r="F26" i="48" s="1"/>
  <c r="G26" i="48" s="1"/>
  <c r="H26" i="48" s="1"/>
  <c r="I26" i="48" s="1"/>
  <c r="J26" i="48" s="1"/>
  <c r="K26" i="48" s="1"/>
  <c r="L26" i="48" s="1"/>
  <c r="M26" i="48" s="1"/>
  <c r="N26" i="48" s="1"/>
  <c r="C30" i="48"/>
  <c r="D30" i="48" s="1"/>
  <c r="E30" i="48" s="1"/>
  <c r="F30" i="48" s="1"/>
  <c r="G30" i="48" s="1"/>
  <c r="H30" i="48" s="1"/>
  <c r="I30" i="48" s="1"/>
  <c r="J30" i="48" s="1"/>
  <c r="K30" i="48" s="1"/>
  <c r="L30" i="48" s="1"/>
  <c r="M30" i="48" s="1"/>
  <c r="N30" i="48" s="1"/>
  <c r="C34" i="48"/>
  <c r="D34" i="48" s="1"/>
  <c r="E34" i="48" s="1"/>
  <c r="F34" i="48" s="1"/>
  <c r="G34" i="48" s="1"/>
  <c r="H34" i="48" s="1"/>
  <c r="I34" i="48" s="1"/>
  <c r="J34" i="48" s="1"/>
  <c r="K34" i="48" s="1"/>
  <c r="L34" i="48" s="1"/>
  <c r="M34" i="48" s="1"/>
  <c r="N34" i="48" s="1"/>
  <c r="C6" i="51"/>
  <c r="D6" i="51" s="1"/>
  <c r="E6" i="51" s="1"/>
  <c r="F6" i="51" s="1"/>
  <c r="G6" i="51" s="1"/>
  <c r="H6" i="51" s="1"/>
  <c r="I6" i="51" s="1"/>
  <c r="J6" i="51" s="1"/>
  <c r="K6" i="51" s="1"/>
  <c r="L6" i="51" s="1"/>
  <c r="M6" i="51" s="1"/>
  <c r="N6" i="51" s="1"/>
  <c r="C10" i="51"/>
  <c r="D10" i="51" s="1"/>
  <c r="E10" i="51" s="1"/>
  <c r="F10" i="51" s="1"/>
  <c r="G10" i="51" s="1"/>
  <c r="H10" i="51" s="1"/>
  <c r="I10" i="51" s="1"/>
  <c r="J10" i="51" s="1"/>
  <c r="K10" i="51" s="1"/>
  <c r="L10" i="51" s="1"/>
  <c r="M10" i="51" s="1"/>
  <c r="N10" i="51" s="1"/>
  <c r="C13" i="51"/>
  <c r="D13" i="51" s="1"/>
  <c r="E13" i="51" s="1"/>
  <c r="F13" i="51" s="1"/>
  <c r="G13" i="51" s="1"/>
  <c r="H13" i="51" s="1"/>
  <c r="I13" i="51" s="1"/>
  <c r="J13" i="51" s="1"/>
  <c r="K13" i="51" s="1"/>
  <c r="L13" i="51" s="1"/>
  <c r="M13" i="51" s="1"/>
  <c r="N13" i="51" s="1"/>
  <c r="C15" i="51"/>
  <c r="D15" i="51" s="1"/>
  <c r="E15" i="51" s="1"/>
  <c r="F15" i="51" s="1"/>
  <c r="G15" i="51" s="1"/>
  <c r="H15" i="51" s="1"/>
  <c r="I15" i="51" s="1"/>
  <c r="J15" i="51" s="1"/>
  <c r="K15" i="51" s="1"/>
  <c r="L15" i="51" s="1"/>
  <c r="M15" i="51" s="1"/>
  <c r="N15" i="51" s="1"/>
  <c r="C17" i="51"/>
  <c r="D17" i="51" s="1"/>
  <c r="E17" i="51" s="1"/>
  <c r="F17" i="51" s="1"/>
  <c r="G17" i="51" s="1"/>
  <c r="H17" i="51" s="1"/>
  <c r="I17" i="51" s="1"/>
  <c r="J17" i="51" s="1"/>
  <c r="K17" i="51" s="1"/>
  <c r="L17" i="51" s="1"/>
  <c r="M17" i="51" s="1"/>
  <c r="N17" i="51" s="1"/>
  <c r="C21" i="51"/>
  <c r="D21" i="51" s="1"/>
  <c r="E21" i="51" s="1"/>
  <c r="F21" i="51" s="1"/>
  <c r="G21" i="51" s="1"/>
  <c r="H21" i="51" s="1"/>
  <c r="I21" i="51" s="1"/>
  <c r="J21" i="51" s="1"/>
  <c r="K21" i="51" s="1"/>
  <c r="L21" i="51" s="1"/>
  <c r="M21" i="51" s="1"/>
  <c r="N21" i="51" s="1"/>
  <c r="C25" i="51"/>
  <c r="D25" i="51" s="1"/>
  <c r="E25" i="51" s="1"/>
  <c r="F25" i="51" s="1"/>
  <c r="G25" i="51" s="1"/>
  <c r="H25" i="51" s="1"/>
  <c r="I25" i="51" s="1"/>
  <c r="J25" i="51" s="1"/>
  <c r="K25" i="51" s="1"/>
  <c r="L25" i="51" s="1"/>
  <c r="M25" i="51" s="1"/>
  <c r="N25" i="51" s="1"/>
  <c r="C29" i="51"/>
  <c r="D29" i="51" s="1"/>
  <c r="E29" i="51" s="1"/>
  <c r="F29" i="51" s="1"/>
  <c r="G29" i="51" s="1"/>
  <c r="H29" i="51" s="1"/>
  <c r="I29" i="51" s="1"/>
  <c r="J29" i="51" s="1"/>
  <c r="K29" i="51" s="1"/>
  <c r="L29" i="51" s="1"/>
  <c r="M29" i="51" s="1"/>
  <c r="N29" i="51" s="1"/>
  <c r="C36" i="51"/>
  <c r="D36" i="51" s="1"/>
  <c r="E36" i="51" s="1"/>
  <c r="F36" i="51" s="1"/>
  <c r="G36" i="51" s="1"/>
  <c r="H36" i="51" s="1"/>
  <c r="I36" i="51" s="1"/>
  <c r="J36" i="51" s="1"/>
  <c r="K36" i="51" s="1"/>
  <c r="L36" i="51" s="1"/>
  <c r="M36" i="51" s="1"/>
  <c r="N36" i="51" s="1"/>
  <c r="C6" i="54"/>
  <c r="D6" i="54" s="1"/>
  <c r="E6" i="54" s="1"/>
  <c r="F6" i="54" s="1"/>
  <c r="G6" i="54" s="1"/>
  <c r="H6" i="54" s="1"/>
  <c r="I6" i="54" s="1"/>
  <c r="J6" i="54" s="1"/>
  <c r="K6" i="54" s="1"/>
  <c r="L6" i="54" s="1"/>
  <c r="M6" i="54" s="1"/>
  <c r="N6" i="54" s="1"/>
  <c r="C10" i="54"/>
  <c r="D10" i="54" s="1"/>
  <c r="E10" i="54" s="1"/>
  <c r="F10" i="54" s="1"/>
  <c r="G10" i="54" s="1"/>
  <c r="H10" i="54" s="1"/>
  <c r="I10" i="54" s="1"/>
  <c r="J10" i="54" s="1"/>
  <c r="K10" i="54" s="1"/>
  <c r="L10" i="54" s="1"/>
  <c r="M10" i="54" s="1"/>
  <c r="N10" i="54" s="1"/>
  <c r="C14" i="54"/>
  <c r="D14" i="54" s="1"/>
  <c r="E14" i="54" s="1"/>
  <c r="F14" i="54" s="1"/>
  <c r="G14" i="54" s="1"/>
  <c r="H14" i="54" s="1"/>
  <c r="I14" i="54" s="1"/>
  <c r="J14" i="54" s="1"/>
  <c r="K14" i="54" s="1"/>
  <c r="L14" i="54" s="1"/>
  <c r="M14" i="54" s="1"/>
  <c r="N14" i="54" s="1"/>
  <c r="C18" i="54"/>
  <c r="D18" i="54" s="1"/>
  <c r="E18" i="54" s="1"/>
  <c r="F18" i="54" s="1"/>
  <c r="G18" i="54" s="1"/>
  <c r="H18" i="54" s="1"/>
  <c r="I18" i="54" s="1"/>
  <c r="J18" i="54" s="1"/>
  <c r="K18" i="54" s="1"/>
  <c r="L18" i="54" s="1"/>
  <c r="M18" i="54" s="1"/>
  <c r="N18" i="54" s="1"/>
  <c r="C22" i="54"/>
  <c r="D22" i="54" s="1"/>
  <c r="E22" i="54" s="1"/>
  <c r="F22" i="54" s="1"/>
  <c r="G22" i="54" s="1"/>
  <c r="H22" i="54" s="1"/>
  <c r="I22" i="54" s="1"/>
  <c r="J22" i="54" s="1"/>
  <c r="K22" i="54" s="1"/>
  <c r="L22" i="54" s="1"/>
  <c r="M22" i="54" s="1"/>
  <c r="N22" i="54" s="1"/>
  <c r="C26" i="54"/>
  <c r="D26" i="54" s="1"/>
  <c r="E26" i="54" s="1"/>
  <c r="F26" i="54" s="1"/>
  <c r="G26" i="54" s="1"/>
  <c r="H26" i="54" s="1"/>
  <c r="I26" i="54" s="1"/>
  <c r="J26" i="54" s="1"/>
  <c r="K26" i="54" s="1"/>
  <c r="L26" i="54" s="1"/>
  <c r="M26" i="54" s="1"/>
  <c r="N26" i="54" s="1"/>
  <c r="C30" i="54"/>
  <c r="D30" i="54" s="1"/>
  <c r="E30" i="54" s="1"/>
  <c r="F30" i="54" s="1"/>
  <c r="G30" i="54" s="1"/>
  <c r="H30" i="54" s="1"/>
  <c r="I30" i="54" s="1"/>
  <c r="J30" i="54" s="1"/>
  <c r="K30" i="54" s="1"/>
  <c r="L30" i="54" s="1"/>
  <c r="M30" i="54" s="1"/>
  <c r="N30" i="54" s="1"/>
  <c r="C34" i="54"/>
  <c r="D34" i="54" s="1"/>
  <c r="E34" i="54" s="1"/>
  <c r="F34" i="54" s="1"/>
  <c r="G34" i="54" s="1"/>
  <c r="H34" i="54" s="1"/>
  <c r="I34" i="54" s="1"/>
  <c r="J34" i="54" s="1"/>
  <c r="K34" i="54" s="1"/>
  <c r="L34" i="54" s="1"/>
  <c r="M34" i="54" s="1"/>
  <c r="N34" i="54" s="1"/>
  <c r="C6" i="57"/>
  <c r="D6" i="57" s="1"/>
  <c r="E6" i="57" s="1"/>
  <c r="F6" i="57" s="1"/>
  <c r="G6" i="57" s="1"/>
  <c r="H6" i="57" s="1"/>
  <c r="I6" i="57" s="1"/>
  <c r="J6" i="57" s="1"/>
  <c r="K6" i="57" s="1"/>
  <c r="L6" i="57" s="1"/>
  <c r="M6" i="57" s="1"/>
  <c r="N6" i="57" s="1"/>
  <c r="C10" i="57"/>
  <c r="D10" i="57" s="1"/>
  <c r="E10" i="57" s="1"/>
  <c r="F10" i="57" s="1"/>
  <c r="G10" i="57" s="1"/>
  <c r="H10" i="57" s="1"/>
  <c r="I10" i="57" s="1"/>
  <c r="J10" i="57" s="1"/>
  <c r="K10" i="57" s="1"/>
  <c r="L10" i="57" s="1"/>
  <c r="M10" i="57" s="1"/>
  <c r="N10" i="57" s="1"/>
  <c r="C14" i="57"/>
  <c r="D14" i="57" s="1"/>
  <c r="E14" i="57" s="1"/>
  <c r="F14" i="57" s="1"/>
  <c r="G14" i="57" s="1"/>
  <c r="H14" i="57" s="1"/>
  <c r="I14" i="57" s="1"/>
  <c r="J14" i="57" s="1"/>
  <c r="K14" i="57" s="1"/>
  <c r="L14" i="57" s="1"/>
  <c r="M14" i="57" s="1"/>
  <c r="N14" i="57" s="1"/>
  <c r="C18" i="57"/>
  <c r="D18" i="57" s="1"/>
  <c r="E18" i="57" s="1"/>
  <c r="F18" i="57" s="1"/>
  <c r="G18" i="57" s="1"/>
  <c r="H18" i="57" s="1"/>
  <c r="I18" i="57" s="1"/>
  <c r="J18" i="57" s="1"/>
  <c r="K18" i="57" s="1"/>
  <c r="L18" i="57" s="1"/>
  <c r="M18" i="57" s="1"/>
  <c r="N18" i="57" s="1"/>
  <c r="C22" i="57"/>
  <c r="D22" i="57" s="1"/>
  <c r="E22" i="57" s="1"/>
  <c r="F22" i="57" s="1"/>
  <c r="G22" i="57" s="1"/>
  <c r="H22" i="57" s="1"/>
  <c r="I22" i="57" s="1"/>
  <c r="J22" i="57" s="1"/>
  <c r="K22" i="57" s="1"/>
  <c r="L22" i="57" s="1"/>
  <c r="M22" i="57" s="1"/>
  <c r="N22" i="57" s="1"/>
  <c r="C26" i="57"/>
  <c r="D26" i="57" s="1"/>
  <c r="E26" i="57" s="1"/>
  <c r="F26" i="57" s="1"/>
  <c r="G26" i="57" s="1"/>
  <c r="H26" i="57" s="1"/>
  <c r="I26" i="57" s="1"/>
  <c r="J26" i="57" s="1"/>
  <c r="K26" i="57" s="1"/>
  <c r="L26" i="57" s="1"/>
  <c r="M26" i="57" s="1"/>
  <c r="N26" i="57" s="1"/>
  <c r="C30" i="57"/>
  <c r="D30" i="57" s="1"/>
  <c r="E30" i="57" s="1"/>
  <c r="F30" i="57" s="1"/>
  <c r="G30" i="57" s="1"/>
  <c r="H30" i="57" s="1"/>
  <c r="I30" i="57" s="1"/>
  <c r="J30" i="57" s="1"/>
  <c r="K30" i="57" s="1"/>
  <c r="L30" i="57" s="1"/>
  <c r="M30" i="57" s="1"/>
  <c r="N30" i="57" s="1"/>
  <c r="C34" i="57"/>
  <c r="D34" i="57" s="1"/>
  <c r="E34" i="57" s="1"/>
  <c r="F34" i="57" s="1"/>
  <c r="G34" i="57" s="1"/>
  <c r="H34" i="57" s="1"/>
  <c r="I34" i="57" s="1"/>
  <c r="J34" i="57" s="1"/>
  <c r="K34" i="57" s="1"/>
  <c r="L34" i="57" s="1"/>
  <c r="M34" i="57" s="1"/>
  <c r="N34" i="57" s="1"/>
  <c r="M37" i="94"/>
  <c r="N5" i="94"/>
  <c r="N37" i="94" s="1"/>
  <c r="C6" i="16"/>
  <c r="D6" i="16" s="1"/>
  <c r="E6" i="16" s="1"/>
  <c r="F6" i="16" s="1"/>
  <c r="G6" i="16" s="1"/>
  <c r="H6" i="16" s="1"/>
  <c r="I6" i="16" s="1"/>
  <c r="J6" i="16" s="1"/>
  <c r="K6" i="16" s="1"/>
  <c r="L6" i="16" s="1"/>
  <c r="M6" i="16" s="1"/>
  <c r="N6" i="16" s="1"/>
  <c r="C8" i="16"/>
  <c r="D8" i="16" s="1"/>
  <c r="E8" i="16" s="1"/>
  <c r="F8" i="16" s="1"/>
  <c r="G8" i="16" s="1"/>
  <c r="H8" i="16" s="1"/>
  <c r="I8" i="16" s="1"/>
  <c r="J8" i="16" s="1"/>
  <c r="K8" i="16" s="1"/>
  <c r="L8" i="16" s="1"/>
  <c r="M8" i="16" s="1"/>
  <c r="N8" i="16" s="1"/>
  <c r="C10" i="16"/>
  <c r="D10" i="16" s="1"/>
  <c r="E10" i="16" s="1"/>
  <c r="F10" i="16" s="1"/>
  <c r="G10" i="16" s="1"/>
  <c r="H10" i="16" s="1"/>
  <c r="I10" i="16" s="1"/>
  <c r="J10" i="16" s="1"/>
  <c r="K10" i="16" s="1"/>
  <c r="L10" i="16" s="1"/>
  <c r="M10" i="16" s="1"/>
  <c r="N10" i="16" s="1"/>
  <c r="C12" i="16"/>
  <c r="D12" i="16" s="1"/>
  <c r="E12" i="16" s="1"/>
  <c r="F12" i="16" s="1"/>
  <c r="G12" i="16" s="1"/>
  <c r="H12" i="16" s="1"/>
  <c r="I12" i="16" s="1"/>
  <c r="J12" i="16" s="1"/>
  <c r="K12" i="16" s="1"/>
  <c r="L12" i="16" s="1"/>
  <c r="M12" i="16" s="1"/>
  <c r="N12" i="16" s="1"/>
  <c r="C14" i="16"/>
  <c r="D14" i="16" s="1"/>
  <c r="E14" i="16" s="1"/>
  <c r="F14" i="16" s="1"/>
  <c r="G14" i="16" s="1"/>
  <c r="H14" i="16" s="1"/>
  <c r="I14" i="16" s="1"/>
  <c r="J14" i="16" s="1"/>
  <c r="K14" i="16" s="1"/>
  <c r="L14" i="16" s="1"/>
  <c r="M14" i="16" s="1"/>
  <c r="N14" i="16" s="1"/>
  <c r="C16" i="16"/>
  <c r="D16" i="16" s="1"/>
  <c r="E16" i="16" s="1"/>
  <c r="F16" i="16" s="1"/>
  <c r="G16" i="16" s="1"/>
  <c r="H16" i="16" s="1"/>
  <c r="I16" i="16" s="1"/>
  <c r="J16" i="16" s="1"/>
  <c r="K16" i="16" s="1"/>
  <c r="L16" i="16" s="1"/>
  <c r="M16" i="16" s="1"/>
  <c r="N16" i="16" s="1"/>
  <c r="C18" i="16"/>
  <c r="D18" i="16" s="1"/>
  <c r="E18" i="16" s="1"/>
  <c r="F18" i="16" s="1"/>
  <c r="G18" i="16" s="1"/>
  <c r="H18" i="16" s="1"/>
  <c r="I18" i="16" s="1"/>
  <c r="J18" i="16" s="1"/>
  <c r="K18" i="16" s="1"/>
  <c r="L18" i="16" s="1"/>
  <c r="M18" i="16" s="1"/>
  <c r="N18" i="16" s="1"/>
  <c r="C20" i="16"/>
  <c r="D20" i="16" s="1"/>
  <c r="E20" i="16" s="1"/>
  <c r="F20" i="16" s="1"/>
  <c r="G20" i="16" s="1"/>
  <c r="H20" i="16" s="1"/>
  <c r="I20" i="16" s="1"/>
  <c r="J20" i="16" s="1"/>
  <c r="K20" i="16" s="1"/>
  <c r="L20" i="16" s="1"/>
  <c r="M20" i="16" s="1"/>
  <c r="N20" i="16" s="1"/>
  <c r="C22" i="16"/>
  <c r="D22" i="16" s="1"/>
  <c r="E22" i="16" s="1"/>
  <c r="F22" i="16" s="1"/>
  <c r="G22" i="16" s="1"/>
  <c r="H22" i="16" s="1"/>
  <c r="I22" i="16" s="1"/>
  <c r="J22" i="16" s="1"/>
  <c r="K22" i="16" s="1"/>
  <c r="L22" i="16" s="1"/>
  <c r="M22" i="16" s="1"/>
  <c r="N22" i="16" s="1"/>
  <c r="C24" i="16"/>
  <c r="D24" i="16" s="1"/>
  <c r="E24" i="16" s="1"/>
  <c r="F24" i="16" s="1"/>
  <c r="G24" i="16" s="1"/>
  <c r="H24" i="16" s="1"/>
  <c r="I24" i="16" s="1"/>
  <c r="J24" i="16" s="1"/>
  <c r="K24" i="16" s="1"/>
  <c r="L24" i="16" s="1"/>
  <c r="M24" i="16" s="1"/>
  <c r="N24" i="16" s="1"/>
  <c r="C26" i="16"/>
  <c r="D26" i="16" s="1"/>
  <c r="E26" i="16" s="1"/>
  <c r="F26" i="16" s="1"/>
  <c r="G26" i="16" s="1"/>
  <c r="H26" i="16" s="1"/>
  <c r="I26" i="16" s="1"/>
  <c r="J26" i="16" s="1"/>
  <c r="K26" i="16" s="1"/>
  <c r="L26" i="16" s="1"/>
  <c r="M26" i="16" s="1"/>
  <c r="N26" i="16" s="1"/>
  <c r="C28" i="16"/>
  <c r="D28" i="16" s="1"/>
  <c r="E28" i="16" s="1"/>
  <c r="F28" i="16" s="1"/>
  <c r="G28" i="16" s="1"/>
  <c r="H28" i="16" s="1"/>
  <c r="I28" i="16" s="1"/>
  <c r="J28" i="16" s="1"/>
  <c r="K28" i="16" s="1"/>
  <c r="L28" i="16" s="1"/>
  <c r="M28" i="16" s="1"/>
  <c r="N28" i="16" s="1"/>
  <c r="C30" i="16"/>
  <c r="D30" i="16" s="1"/>
  <c r="E30" i="16" s="1"/>
  <c r="F30" i="16" s="1"/>
  <c r="G30" i="16" s="1"/>
  <c r="H30" i="16" s="1"/>
  <c r="I30" i="16" s="1"/>
  <c r="J30" i="16" s="1"/>
  <c r="K30" i="16" s="1"/>
  <c r="L30" i="16" s="1"/>
  <c r="M30" i="16" s="1"/>
  <c r="N30" i="16" s="1"/>
  <c r="C32" i="16"/>
  <c r="D32" i="16" s="1"/>
  <c r="E32" i="16" s="1"/>
  <c r="F32" i="16" s="1"/>
  <c r="G32" i="16" s="1"/>
  <c r="H32" i="16" s="1"/>
  <c r="I32" i="16" s="1"/>
  <c r="J32" i="16" s="1"/>
  <c r="K32" i="16" s="1"/>
  <c r="L32" i="16" s="1"/>
  <c r="M32" i="16" s="1"/>
  <c r="N32" i="16" s="1"/>
  <c r="C34" i="16"/>
  <c r="D34" i="16" s="1"/>
  <c r="E34" i="16" s="1"/>
  <c r="F34" i="16" s="1"/>
  <c r="G34" i="16" s="1"/>
  <c r="H34" i="16" s="1"/>
  <c r="I34" i="16" s="1"/>
  <c r="J34" i="16" s="1"/>
  <c r="K34" i="16" s="1"/>
  <c r="L34" i="16" s="1"/>
  <c r="M34" i="16" s="1"/>
  <c r="N34" i="16" s="1"/>
  <c r="C6" i="19"/>
  <c r="D6" i="19" s="1"/>
  <c r="E6" i="19" s="1"/>
  <c r="F6" i="19" s="1"/>
  <c r="G6" i="19" s="1"/>
  <c r="H6" i="19" s="1"/>
  <c r="I6" i="19" s="1"/>
  <c r="J6" i="19" s="1"/>
  <c r="K6" i="19" s="1"/>
  <c r="L6" i="19" s="1"/>
  <c r="M6" i="19" s="1"/>
  <c r="N6" i="19" s="1"/>
  <c r="C8" i="19"/>
  <c r="D8" i="19" s="1"/>
  <c r="E8" i="19" s="1"/>
  <c r="F8" i="19" s="1"/>
  <c r="G8" i="19" s="1"/>
  <c r="H8" i="19" s="1"/>
  <c r="I8" i="19" s="1"/>
  <c r="J8" i="19" s="1"/>
  <c r="K8" i="19" s="1"/>
  <c r="L8" i="19" s="1"/>
  <c r="M8" i="19" s="1"/>
  <c r="N8" i="19" s="1"/>
  <c r="C10" i="19"/>
  <c r="D10" i="19" s="1"/>
  <c r="E10" i="19" s="1"/>
  <c r="F10" i="19" s="1"/>
  <c r="G10" i="19" s="1"/>
  <c r="H10" i="19" s="1"/>
  <c r="I10" i="19" s="1"/>
  <c r="J10" i="19" s="1"/>
  <c r="K10" i="19" s="1"/>
  <c r="L10" i="19" s="1"/>
  <c r="M10" i="19" s="1"/>
  <c r="N10" i="19" s="1"/>
  <c r="C12" i="19"/>
  <c r="D12" i="19" s="1"/>
  <c r="E12" i="19" s="1"/>
  <c r="F12" i="19" s="1"/>
  <c r="G12" i="19" s="1"/>
  <c r="H12" i="19" s="1"/>
  <c r="I12" i="19" s="1"/>
  <c r="J12" i="19" s="1"/>
  <c r="K12" i="19" s="1"/>
  <c r="L12" i="19" s="1"/>
  <c r="M12" i="19" s="1"/>
  <c r="N12" i="19" s="1"/>
  <c r="C14" i="19"/>
  <c r="D14" i="19" s="1"/>
  <c r="E14" i="19" s="1"/>
  <c r="F14" i="19" s="1"/>
  <c r="G14" i="19" s="1"/>
  <c r="H14" i="19" s="1"/>
  <c r="I14" i="19" s="1"/>
  <c r="J14" i="19" s="1"/>
  <c r="K14" i="19" s="1"/>
  <c r="L14" i="19" s="1"/>
  <c r="M14" i="19" s="1"/>
  <c r="N14" i="19" s="1"/>
  <c r="C16" i="19"/>
  <c r="D16" i="19" s="1"/>
  <c r="E16" i="19" s="1"/>
  <c r="F16" i="19" s="1"/>
  <c r="G16" i="19" s="1"/>
  <c r="H16" i="19" s="1"/>
  <c r="I16" i="19" s="1"/>
  <c r="J16" i="19" s="1"/>
  <c r="K16" i="19" s="1"/>
  <c r="L16" i="19" s="1"/>
  <c r="M16" i="19" s="1"/>
  <c r="N16" i="19" s="1"/>
  <c r="C18" i="19"/>
  <c r="D18" i="19" s="1"/>
  <c r="E18" i="19" s="1"/>
  <c r="F18" i="19" s="1"/>
  <c r="G18" i="19" s="1"/>
  <c r="H18" i="19" s="1"/>
  <c r="I18" i="19" s="1"/>
  <c r="J18" i="19" s="1"/>
  <c r="K18" i="19" s="1"/>
  <c r="L18" i="19" s="1"/>
  <c r="M18" i="19" s="1"/>
  <c r="N18" i="19" s="1"/>
  <c r="C20" i="19"/>
  <c r="D20" i="19" s="1"/>
  <c r="E20" i="19" s="1"/>
  <c r="F20" i="19" s="1"/>
  <c r="G20" i="19" s="1"/>
  <c r="H20" i="19" s="1"/>
  <c r="I20" i="19" s="1"/>
  <c r="J20" i="19" s="1"/>
  <c r="K20" i="19" s="1"/>
  <c r="L20" i="19" s="1"/>
  <c r="M20" i="19" s="1"/>
  <c r="N20" i="19" s="1"/>
  <c r="C22" i="19"/>
  <c r="D22" i="19" s="1"/>
  <c r="E22" i="19" s="1"/>
  <c r="F22" i="19" s="1"/>
  <c r="G22" i="19" s="1"/>
  <c r="H22" i="19" s="1"/>
  <c r="I22" i="19" s="1"/>
  <c r="J22" i="19" s="1"/>
  <c r="K22" i="19" s="1"/>
  <c r="L22" i="19" s="1"/>
  <c r="M22" i="19" s="1"/>
  <c r="N22" i="19" s="1"/>
  <c r="C24" i="19"/>
  <c r="D24" i="19" s="1"/>
  <c r="E24" i="19" s="1"/>
  <c r="F24" i="19" s="1"/>
  <c r="G24" i="19" s="1"/>
  <c r="H24" i="19" s="1"/>
  <c r="I24" i="19" s="1"/>
  <c r="J24" i="19" s="1"/>
  <c r="K24" i="19" s="1"/>
  <c r="L24" i="19" s="1"/>
  <c r="M24" i="19" s="1"/>
  <c r="N24" i="19" s="1"/>
  <c r="C26" i="19"/>
  <c r="D26" i="19" s="1"/>
  <c r="E26" i="19" s="1"/>
  <c r="F26" i="19" s="1"/>
  <c r="G26" i="19" s="1"/>
  <c r="H26" i="19" s="1"/>
  <c r="I26" i="19" s="1"/>
  <c r="J26" i="19" s="1"/>
  <c r="K26" i="19" s="1"/>
  <c r="L26" i="19" s="1"/>
  <c r="M26" i="19" s="1"/>
  <c r="N26" i="19" s="1"/>
  <c r="C28" i="19"/>
  <c r="D28" i="19" s="1"/>
  <c r="E28" i="19" s="1"/>
  <c r="F28" i="19" s="1"/>
  <c r="G28" i="19" s="1"/>
  <c r="H28" i="19" s="1"/>
  <c r="I28" i="19" s="1"/>
  <c r="J28" i="19" s="1"/>
  <c r="K28" i="19" s="1"/>
  <c r="L28" i="19" s="1"/>
  <c r="M28" i="19" s="1"/>
  <c r="N28" i="19" s="1"/>
  <c r="C30" i="19"/>
  <c r="D30" i="19" s="1"/>
  <c r="E30" i="19" s="1"/>
  <c r="F30" i="19" s="1"/>
  <c r="G30" i="19" s="1"/>
  <c r="H30" i="19" s="1"/>
  <c r="I30" i="19" s="1"/>
  <c r="J30" i="19" s="1"/>
  <c r="K30" i="19" s="1"/>
  <c r="L30" i="19" s="1"/>
  <c r="M30" i="19" s="1"/>
  <c r="N30" i="19" s="1"/>
  <c r="C32" i="19"/>
  <c r="D32" i="19" s="1"/>
  <c r="E32" i="19" s="1"/>
  <c r="F32" i="19" s="1"/>
  <c r="G32" i="19" s="1"/>
  <c r="H32" i="19" s="1"/>
  <c r="I32" i="19" s="1"/>
  <c r="J32" i="19" s="1"/>
  <c r="K32" i="19" s="1"/>
  <c r="L32" i="19" s="1"/>
  <c r="M32" i="19" s="1"/>
  <c r="N32" i="19" s="1"/>
  <c r="C34" i="19"/>
  <c r="D34" i="19" s="1"/>
  <c r="E34" i="19" s="1"/>
  <c r="F34" i="19" s="1"/>
  <c r="G34" i="19" s="1"/>
  <c r="H34" i="19" s="1"/>
  <c r="I34" i="19" s="1"/>
  <c r="J34" i="19" s="1"/>
  <c r="K34" i="19" s="1"/>
  <c r="L34" i="19" s="1"/>
  <c r="M34" i="19" s="1"/>
  <c r="N34" i="19" s="1"/>
  <c r="C6" i="22"/>
  <c r="D6" i="22" s="1"/>
  <c r="E6" i="22" s="1"/>
  <c r="F6" i="22" s="1"/>
  <c r="G6" i="22" s="1"/>
  <c r="H6" i="22" s="1"/>
  <c r="I6" i="22" s="1"/>
  <c r="J6" i="22" s="1"/>
  <c r="K6" i="22" s="1"/>
  <c r="L6" i="22" s="1"/>
  <c r="M6" i="22" s="1"/>
  <c r="N6" i="22" s="1"/>
  <c r="C8" i="22"/>
  <c r="D8" i="22" s="1"/>
  <c r="E8" i="22" s="1"/>
  <c r="F8" i="22" s="1"/>
  <c r="G8" i="22" s="1"/>
  <c r="H8" i="22" s="1"/>
  <c r="I8" i="22" s="1"/>
  <c r="J8" i="22" s="1"/>
  <c r="K8" i="22" s="1"/>
  <c r="L8" i="22" s="1"/>
  <c r="M8" i="22" s="1"/>
  <c r="N8" i="22" s="1"/>
  <c r="C10" i="22"/>
  <c r="D10" i="22" s="1"/>
  <c r="E10" i="22" s="1"/>
  <c r="F10" i="22" s="1"/>
  <c r="G10" i="22" s="1"/>
  <c r="H10" i="22" s="1"/>
  <c r="I10" i="22" s="1"/>
  <c r="J10" i="22" s="1"/>
  <c r="K10" i="22" s="1"/>
  <c r="L10" i="22" s="1"/>
  <c r="M10" i="22" s="1"/>
  <c r="N10" i="22" s="1"/>
  <c r="C12" i="22"/>
  <c r="D12" i="22" s="1"/>
  <c r="E12" i="22" s="1"/>
  <c r="F12" i="22" s="1"/>
  <c r="G12" i="22" s="1"/>
  <c r="H12" i="22" s="1"/>
  <c r="I12" i="22" s="1"/>
  <c r="J12" i="22" s="1"/>
  <c r="K12" i="22" s="1"/>
  <c r="L12" i="22" s="1"/>
  <c r="M12" i="22" s="1"/>
  <c r="N12" i="22" s="1"/>
  <c r="C14" i="22"/>
  <c r="D14" i="22" s="1"/>
  <c r="E14" i="22" s="1"/>
  <c r="F14" i="22" s="1"/>
  <c r="G14" i="22" s="1"/>
  <c r="H14" i="22" s="1"/>
  <c r="I14" i="22" s="1"/>
  <c r="J14" i="22" s="1"/>
  <c r="K14" i="22" s="1"/>
  <c r="L14" i="22" s="1"/>
  <c r="M14" i="22" s="1"/>
  <c r="N14" i="22" s="1"/>
  <c r="C16" i="22"/>
  <c r="D16" i="22" s="1"/>
  <c r="E16" i="22" s="1"/>
  <c r="F16" i="22" s="1"/>
  <c r="G16" i="22" s="1"/>
  <c r="H16" i="22" s="1"/>
  <c r="I16" i="22" s="1"/>
  <c r="J16" i="22" s="1"/>
  <c r="K16" i="22" s="1"/>
  <c r="L16" i="22" s="1"/>
  <c r="M16" i="22" s="1"/>
  <c r="N16" i="22" s="1"/>
  <c r="C18" i="22"/>
  <c r="D18" i="22" s="1"/>
  <c r="E18" i="22" s="1"/>
  <c r="F18" i="22" s="1"/>
  <c r="G18" i="22" s="1"/>
  <c r="H18" i="22" s="1"/>
  <c r="I18" i="22" s="1"/>
  <c r="J18" i="22" s="1"/>
  <c r="K18" i="22" s="1"/>
  <c r="L18" i="22" s="1"/>
  <c r="M18" i="22" s="1"/>
  <c r="N18" i="22" s="1"/>
  <c r="C20" i="22"/>
  <c r="D20" i="22" s="1"/>
  <c r="E20" i="22" s="1"/>
  <c r="F20" i="22" s="1"/>
  <c r="G20" i="22" s="1"/>
  <c r="H20" i="22" s="1"/>
  <c r="I20" i="22" s="1"/>
  <c r="J20" i="22" s="1"/>
  <c r="K20" i="22" s="1"/>
  <c r="L20" i="22" s="1"/>
  <c r="M20" i="22" s="1"/>
  <c r="N20" i="22" s="1"/>
  <c r="C22" i="22"/>
  <c r="D22" i="22" s="1"/>
  <c r="E22" i="22" s="1"/>
  <c r="F22" i="22" s="1"/>
  <c r="G22" i="22" s="1"/>
  <c r="H22" i="22" s="1"/>
  <c r="I22" i="22" s="1"/>
  <c r="J22" i="22" s="1"/>
  <c r="K22" i="22" s="1"/>
  <c r="L22" i="22" s="1"/>
  <c r="M22" i="22" s="1"/>
  <c r="N22" i="22" s="1"/>
  <c r="C24" i="22"/>
  <c r="D24" i="22" s="1"/>
  <c r="E24" i="22" s="1"/>
  <c r="F24" i="22" s="1"/>
  <c r="G24" i="22" s="1"/>
  <c r="H24" i="22" s="1"/>
  <c r="I24" i="22" s="1"/>
  <c r="J24" i="22" s="1"/>
  <c r="K24" i="22" s="1"/>
  <c r="L24" i="22" s="1"/>
  <c r="M24" i="22" s="1"/>
  <c r="N24" i="22" s="1"/>
  <c r="C26" i="22"/>
  <c r="D26" i="22" s="1"/>
  <c r="E26" i="22" s="1"/>
  <c r="F26" i="22" s="1"/>
  <c r="G26" i="22" s="1"/>
  <c r="H26" i="22" s="1"/>
  <c r="I26" i="22" s="1"/>
  <c r="J26" i="22" s="1"/>
  <c r="K26" i="22" s="1"/>
  <c r="L26" i="22" s="1"/>
  <c r="M26" i="22" s="1"/>
  <c r="N26" i="22" s="1"/>
  <c r="C28" i="22"/>
  <c r="D28" i="22" s="1"/>
  <c r="E28" i="22" s="1"/>
  <c r="F28" i="22" s="1"/>
  <c r="G28" i="22" s="1"/>
  <c r="H28" i="22" s="1"/>
  <c r="I28" i="22" s="1"/>
  <c r="J28" i="22" s="1"/>
  <c r="K28" i="22" s="1"/>
  <c r="L28" i="22" s="1"/>
  <c r="M28" i="22" s="1"/>
  <c r="N28" i="22" s="1"/>
  <c r="C30" i="22"/>
  <c r="D30" i="22" s="1"/>
  <c r="E30" i="22" s="1"/>
  <c r="F30" i="22" s="1"/>
  <c r="G30" i="22" s="1"/>
  <c r="H30" i="22" s="1"/>
  <c r="I30" i="22" s="1"/>
  <c r="J30" i="22" s="1"/>
  <c r="K30" i="22" s="1"/>
  <c r="L30" i="22" s="1"/>
  <c r="M30" i="22" s="1"/>
  <c r="N30" i="22" s="1"/>
  <c r="C32" i="22"/>
  <c r="D32" i="22" s="1"/>
  <c r="E32" i="22" s="1"/>
  <c r="F32" i="22" s="1"/>
  <c r="G32" i="22" s="1"/>
  <c r="H32" i="22" s="1"/>
  <c r="I32" i="22" s="1"/>
  <c r="J32" i="22" s="1"/>
  <c r="K32" i="22" s="1"/>
  <c r="L32" i="22" s="1"/>
  <c r="M32" i="22" s="1"/>
  <c r="N32" i="22" s="1"/>
  <c r="C34" i="22"/>
  <c r="D34" i="22" s="1"/>
  <c r="E34" i="22" s="1"/>
  <c r="F34" i="22" s="1"/>
  <c r="G34" i="22" s="1"/>
  <c r="H34" i="22" s="1"/>
  <c r="I34" i="22" s="1"/>
  <c r="J34" i="22" s="1"/>
  <c r="K34" i="22" s="1"/>
  <c r="L34" i="22" s="1"/>
  <c r="M34" i="22" s="1"/>
  <c r="N34" i="22" s="1"/>
  <c r="C5" i="25"/>
  <c r="D5" i="25" s="1"/>
  <c r="C7" i="25"/>
  <c r="D7" i="25" s="1"/>
  <c r="E7" i="25" s="1"/>
  <c r="F7" i="25" s="1"/>
  <c r="G7" i="25" s="1"/>
  <c r="H7" i="25" s="1"/>
  <c r="I7" i="25" s="1"/>
  <c r="J7" i="25" s="1"/>
  <c r="K7" i="25" s="1"/>
  <c r="L7" i="25" s="1"/>
  <c r="M7" i="25" s="1"/>
  <c r="N7" i="25" s="1"/>
  <c r="C9" i="25"/>
  <c r="D9" i="25" s="1"/>
  <c r="E9" i="25" s="1"/>
  <c r="F9" i="25" s="1"/>
  <c r="G9" i="25" s="1"/>
  <c r="H9" i="25" s="1"/>
  <c r="I9" i="25" s="1"/>
  <c r="J9" i="25" s="1"/>
  <c r="K9" i="25" s="1"/>
  <c r="L9" i="25" s="1"/>
  <c r="M9" i="25" s="1"/>
  <c r="N9" i="25" s="1"/>
  <c r="C10" i="25"/>
  <c r="D10" i="25" s="1"/>
  <c r="E10" i="25" s="1"/>
  <c r="F10" i="25" s="1"/>
  <c r="G10" i="25" s="1"/>
  <c r="H10" i="25" s="1"/>
  <c r="I10" i="25" s="1"/>
  <c r="J10" i="25" s="1"/>
  <c r="K10" i="25" s="1"/>
  <c r="L10" i="25" s="1"/>
  <c r="M10" i="25" s="1"/>
  <c r="N10" i="25" s="1"/>
  <c r="C11" i="25"/>
  <c r="C12" i="25"/>
  <c r="D12" i="25" s="1"/>
  <c r="E12" i="25" s="1"/>
  <c r="F12" i="25" s="1"/>
  <c r="G12" i="25" s="1"/>
  <c r="H12" i="25" s="1"/>
  <c r="I12" i="25" s="1"/>
  <c r="J12" i="25" s="1"/>
  <c r="K12" i="25" s="1"/>
  <c r="L12" i="25" s="1"/>
  <c r="M12" i="25" s="1"/>
  <c r="N12" i="25" s="1"/>
  <c r="C14" i="25"/>
  <c r="D14" i="25" s="1"/>
  <c r="E14" i="25" s="1"/>
  <c r="F14" i="25" s="1"/>
  <c r="G14" i="25" s="1"/>
  <c r="H14" i="25" s="1"/>
  <c r="I14" i="25" s="1"/>
  <c r="J14" i="25" s="1"/>
  <c r="K14" i="25" s="1"/>
  <c r="L14" i="25" s="1"/>
  <c r="M14" i="25" s="1"/>
  <c r="N14" i="25" s="1"/>
  <c r="C15" i="25"/>
  <c r="C16" i="25"/>
  <c r="D16" i="25" s="1"/>
  <c r="E16" i="25" s="1"/>
  <c r="F16" i="25" s="1"/>
  <c r="G16" i="25" s="1"/>
  <c r="H16" i="25" s="1"/>
  <c r="I16" i="25" s="1"/>
  <c r="J16" i="25" s="1"/>
  <c r="K16" i="25" s="1"/>
  <c r="L16" i="25" s="1"/>
  <c r="M16" i="25" s="1"/>
  <c r="N16" i="25" s="1"/>
  <c r="C18" i="25"/>
  <c r="D18" i="25" s="1"/>
  <c r="E18" i="25" s="1"/>
  <c r="F18" i="25" s="1"/>
  <c r="G18" i="25" s="1"/>
  <c r="H18" i="25" s="1"/>
  <c r="I18" i="25" s="1"/>
  <c r="J18" i="25" s="1"/>
  <c r="K18" i="25" s="1"/>
  <c r="L18" i="25" s="1"/>
  <c r="M18" i="25" s="1"/>
  <c r="N18" i="25" s="1"/>
  <c r="C20" i="25"/>
  <c r="D20" i="25" s="1"/>
  <c r="E20" i="25" s="1"/>
  <c r="F20" i="25" s="1"/>
  <c r="G20" i="25" s="1"/>
  <c r="H20" i="25" s="1"/>
  <c r="I20" i="25" s="1"/>
  <c r="J20" i="25" s="1"/>
  <c r="K20" i="25" s="1"/>
  <c r="L20" i="25" s="1"/>
  <c r="M20" i="25" s="1"/>
  <c r="N20" i="25" s="1"/>
  <c r="C22" i="25"/>
  <c r="D22" i="25" s="1"/>
  <c r="E22" i="25" s="1"/>
  <c r="F22" i="25" s="1"/>
  <c r="G22" i="25" s="1"/>
  <c r="H22" i="25" s="1"/>
  <c r="I22" i="25" s="1"/>
  <c r="J22" i="25" s="1"/>
  <c r="K22" i="25" s="1"/>
  <c r="L22" i="25" s="1"/>
  <c r="M22" i="25" s="1"/>
  <c r="N22" i="25" s="1"/>
  <c r="C26" i="25"/>
  <c r="D26" i="25" s="1"/>
  <c r="E26" i="25" s="1"/>
  <c r="F26" i="25" s="1"/>
  <c r="G26" i="25" s="1"/>
  <c r="H26" i="25" s="1"/>
  <c r="I26" i="25" s="1"/>
  <c r="J26" i="25" s="1"/>
  <c r="K26" i="25" s="1"/>
  <c r="L26" i="25" s="1"/>
  <c r="M26" i="25" s="1"/>
  <c r="N26" i="25" s="1"/>
  <c r="C28" i="25"/>
  <c r="D28" i="25" s="1"/>
  <c r="E28" i="25" s="1"/>
  <c r="F28" i="25" s="1"/>
  <c r="G28" i="25" s="1"/>
  <c r="H28" i="25" s="1"/>
  <c r="I28" i="25" s="1"/>
  <c r="J28" i="25" s="1"/>
  <c r="K28" i="25" s="1"/>
  <c r="L28" i="25" s="1"/>
  <c r="M28" i="25" s="1"/>
  <c r="N28" i="25" s="1"/>
  <c r="C30" i="25"/>
  <c r="D30" i="25" s="1"/>
  <c r="E30" i="25" s="1"/>
  <c r="F30" i="25" s="1"/>
  <c r="G30" i="25" s="1"/>
  <c r="H30" i="25" s="1"/>
  <c r="I30" i="25" s="1"/>
  <c r="J30" i="25" s="1"/>
  <c r="K30" i="25" s="1"/>
  <c r="L30" i="25" s="1"/>
  <c r="M30" i="25" s="1"/>
  <c r="N30" i="25" s="1"/>
  <c r="C32" i="25"/>
  <c r="D32" i="25" s="1"/>
  <c r="E32" i="25" s="1"/>
  <c r="F32" i="25" s="1"/>
  <c r="G32" i="25" s="1"/>
  <c r="H32" i="25" s="1"/>
  <c r="I32" i="25" s="1"/>
  <c r="J32" i="25" s="1"/>
  <c r="K32" i="25" s="1"/>
  <c r="L32" i="25" s="1"/>
  <c r="M32" i="25" s="1"/>
  <c r="N32" i="25" s="1"/>
  <c r="C6" i="30"/>
  <c r="D6" i="30" s="1"/>
  <c r="E6" i="30" s="1"/>
  <c r="F6" i="30" s="1"/>
  <c r="G6" i="30" s="1"/>
  <c r="H6" i="30" s="1"/>
  <c r="I6" i="30" s="1"/>
  <c r="J6" i="30" s="1"/>
  <c r="K6" i="30" s="1"/>
  <c r="L6" i="30" s="1"/>
  <c r="M6" i="30" s="1"/>
  <c r="N6" i="30" s="1"/>
  <c r="C8" i="30"/>
  <c r="D8" i="30" s="1"/>
  <c r="E8" i="30" s="1"/>
  <c r="F8" i="30" s="1"/>
  <c r="G8" i="30" s="1"/>
  <c r="H8" i="30" s="1"/>
  <c r="I8" i="30" s="1"/>
  <c r="J8" i="30" s="1"/>
  <c r="K8" i="30" s="1"/>
  <c r="L8" i="30" s="1"/>
  <c r="M8" i="30" s="1"/>
  <c r="N8" i="30" s="1"/>
  <c r="C10" i="30"/>
  <c r="D10" i="30" s="1"/>
  <c r="E10" i="30" s="1"/>
  <c r="F10" i="30" s="1"/>
  <c r="G10" i="30" s="1"/>
  <c r="H10" i="30" s="1"/>
  <c r="I10" i="30" s="1"/>
  <c r="J10" i="30" s="1"/>
  <c r="K10" i="30" s="1"/>
  <c r="L10" i="30" s="1"/>
  <c r="M10" i="30" s="1"/>
  <c r="N10" i="30" s="1"/>
  <c r="C12" i="30"/>
  <c r="D12" i="30" s="1"/>
  <c r="E12" i="30" s="1"/>
  <c r="F12" i="30" s="1"/>
  <c r="G12" i="30" s="1"/>
  <c r="H12" i="30" s="1"/>
  <c r="I12" i="30" s="1"/>
  <c r="J12" i="30" s="1"/>
  <c r="K12" i="30" s="1"/>
  <c r="L12" i="30" s="1"/>
  <c r="M12" i="30" s="1"/>
  <c r="N12" i="30" s="1"/>
  <c r="C14" i="30"/>
  <c r="D14" i="30" s="1"/>
  <c r="E14" i="30" s="1"/>
  <c r="F14" i="30" s="1"/>
  <c r="G14" i="30" s="1"/>
  <c r="H14" i="30" s="1"/>
  <c r="I14" i="30" s="1"/>
  <c r="J14" i="30" s="1"/>
  <c r="K14" i="30" s="1"/>
  <c r="L14" i="30" s="1"/>
  <c r="M14" i="30" s="1"/>
  <c r="N14" i="30" s="1"/>
  <c r="C16" i="30"/>
  <c r="D16" i="30" s="1"/>
  <c r="E16" i="30" s="1"/>
  <c r="F16" i="30" s="1"/>
  <c r="G16" i="30" s="1"/>
  <c r="H16" i="30" s="1"/>
  <c r="I16" i="30" s="1"/>
  <c r="J16" i="30" s="1"/>
  <c r="K16" i="30" s="1"/>
  <c r="L16" i="30" s="1"/>
  <c r="M16" i="30" s="1"/>
  <c r="N16" i="30" s="1"/>
  <c r="C18" i="30"/>
  <c r="D18" i="30" s="1"/>
  <c r="E18" i="30" s="1"/>
  <c r="F18" i="30" s="1"/>
  <c r="G18" i="30" s="1"/>
  <c r="H18" i="30" s="1"/>
  <c r="I18" i="30" s="1"/>
  <c r="J18" i="30" s="1"/>
  <c r="K18" i="30" s="1"/>
  <c r="L18" i="30" s="1"/>
  <c r="M18" i="30" s="1"/>
  <c r="N18" i="30" s="1"/>
  <c r="C20" i="30"/>
  <c r="D20" i="30" s="1"/>
  <c r="E20" i="30" s="1"/>
  <c r="F20" i="30" s="1"/>
  <c r="G20" i="30" s="1"/>
  <c r="H20" i="30" s="1"/>
  <c r="I20" i="30" s="1"/>
  <c r="J20" i="30" s="1"/>
  <c r="K20" i="30" s="1"/>
  <c r="L20" i="30" s="1"/>
  <c r="M20" i="30" s="1"/>
  <c r="N20" i="30" s="1"/>
  <c r="C22" i="30"/>
  <c r="D22" i="30" s="1"/>
  <c r="E22" i="30" s="1"/>
  <c r="F22" i="30" s="1"/>
  <c r="G22" i="30" s="1"/>
  <c r="H22" i="30" s="1"/>
  <c r="I22" i="30" s="1"/>
  <c r="J22" i="30" s="1"/>
  <c r="K22" i="30" s="1"/>
  <c r="L22" i="30" s="1"/>
  <c r="M22" i="30" s="1"/>
  <c r="N22" i="30" s="1"/>
  <c r="C24" i="30"/>
  <c r="D24" i="30" s="1"/>
  <c r="E24" i="30" s="1"/>
  <c r="F24" i="30" s="1"/>
  <c r="G24" i="30" s="1"/>
  <c r="H24" i="30" s="1"/>
  <c r="I24" i="30" s="1"/>
  <c r="J24" i="30" s="1"/>
  <c r="K24" i="30" s="1"/>
  <c r="L24" i="30" s="1"/>
  <c r="M24" i="30" s="1"/>
  <c r="N24" i="30" s="1"/>
  <c r="C26" i="30"/>
  <c r="D26" i="30" s="1"/>
  <c r="E26" i="30" s="1"/>
  <c r="F26" i="30" s="1"/>
  <c r="G26" i="30" s="1"/>
  <c r="H26" i="30" s="1"/>
  <c r="I26" i="30" s="1"/>
  <c r="J26" i="30" s="1"/>
  <c r="K26" i="30" s="1"/>
  <c r="L26" i="30" s="1"/>
  <c r="M26" i="30" s="1"/>
  <c r="N26" i="30" s="1"/>
  <c r="C28" i="30"/>
  <c r="D28" i="30" s="1"/>
  <c r="E28" i="30" s="1"/>
  <c r="F28" i="30" s="1"/>
  <c r="G28" i="30" s="1"/>
  <c r="H28" i="30" s="1"/>
  <c r="I28" i="30" s="1"/>
  <c r="J28" i="30" s="1"/>
  <c r="K28" i="30" s="1"/>
  <c r="L28" i="30" s="1"/>
  <c r="M28" i="30" s="1"/>
  <c r="N28" i="30" s="1"/>
  <c r="C30" i="30"/>
  <c r="D30" i="30" s="1"/>
  <c r="E30" i="30" s="1"/>
  <c r="F30" i="30" s="1"/>
  <c r="G30" i="30" s="1"/>
  <c r="H30" i="30" s="1"/>
  <c r="I30" i="30" s="1"/>
  <c r="J30" i="30" s="1"/>
  <c r="K30" i="30" s="1"/>
  <c r="L30" i="30" s="1"/>
  <c r="M30" i="30" s="1"/>
  <c r="N30" i="30" s="1"/>
  <c r="C32" i="30"/>
  <c r="D32" i="30" s="1"/>
  <c r="E32" i="30" s="1"/>
  <c r="F32" i="30" s="1"/>
  <c r="G32" i="30" s="1"/>
  <c r="H32" i="30" s="1"/>
  <c r="I32" i="30" s="1"/>
  <c r="J32" i="30" s="1"/>
  <c r="K32" i="30" s="1"/>
  <c r="L32" i="30" s="1"/>
  <c r="M32" i="30" s="1"/>
  <c r="N32" i="30" s="1"/>
  <c r="C34" i="30"/>
  <c r="D34" i="30" s="1"/>
  <c r="E34" i="30" s="1"/>
  <c r="F34" i="30" s="1"/>
  <c r="G34" i="30" s="1"/>
  <c r="H34" i="30" s="1"/>
  <c r="I34" i="30" s="1"/>
  <c r="J34" i="30" s="1"/>
  <c r="K34" i="30" s="1"/>
  <c r="L34" i="30" s="1"/>
  <c r="M34" i="30" s="1"/>
  <c r="N34" i="30" s="1"/>
  <c r="C5" i="45"/>
  <c r="D5" i="45" s="1"/>
  <c r="C7" i="45"/>
  <c r="D7" i="45" s="1"/>
  <c r="E7" i="45" s="1"/>
  <c r="F7" i="45" s="1"/>
  <c r="G7" i="45" s="1"/>
  <c r="H7" i="45" s="1"/>
  <c r="I7" i="45" s="1"/>
  <c r="J7" i="45" s="1"/>
  <c r="K7" i="45" s="1"/>
  <c r="L7" i="45" s="1"/>
  <c r="M7" i="45" s="1"/>
  <c r="N7" i="45" s="1"/>
  <c r="C9" i="45"/>
  <c r="D9" i="45" s="1"/>
  <c r="E9" i="45" s="1"/>
  <c r="F9" i="45" s="1"/>
  <c r="G9" i="45" s="1"/>
  <c r="H9" i="45" s="1"/>
  <c r="I9" i="45" s="1"/>
  <c r="J9" i="45" s="1"/>
  <c r="K9" i="45" s="1"/>
  <c r="L9" i="45" s="1"/>
  <c r="M9" i="45" s="1"/>
  <c r="N9" i="45" s="1"/>
  <c r="C11" i="45"/>
  <c r="D11" i="45" s="1"/>
  <c r="E11" i="45" s="1"/>
  <c r="F11" i="45" s="1"/>
  <c r="G11" i="45" s="1"/>
  <c r="H11" i="45" s="1"/>
  <c r="I11" i="45" s="1"/>
  <c r="J11" i="45" s="1"/>
  <c r="K11" i="45" s="1"/>
  <c r="L11" i="45" s="1"/>
  <c r="M11" i="45" s="1"/>
  <c r="N11" i="45" s="1"/>
  <c r="C13" i="45"/>
  <c r="D13" i="45" s="1"/>
  <c r="E13" i="45" s="1"/>
  <c r="F13" i="45" s="1"/>
  <c r="G13" i="45" s="1"/>
  <c r="H13" i="45" s="1"/>
  <c r="I13" i="45" s="1"/>
  <c r="J13" i="45" s="1"/>
  <c r="K13" i="45" s="1"/>
  <c r="L13" i="45" s="1"/>
  <c r="M13" i="45" s="1"/>
  <c r="N13" i="45" s="1"/>
  <c r="C15" i="45"/>
  <c r="D15" i="45" s="1"/>
  <c r="E15" i="45" s="1"/>
  <c r="F15" i="45" s="1"/>
  <c r="G15" i="45" s="1"/>
  <c r="H15" i="45" s="1"/>
  <c r="I15" i="45" s="1"/>
  <c r="J15" i="45" s="1"/>
  <c r="K15" i="45" s="1"/>
  <c r="L15" i="45" s="1"/>
  <c r="M15" i="45" s="1"/>
  <c r="N15" i="45" s="1"/>
  <c r="C17" i="45"/>
  <c r="D17" i="45" s="1"/>
  <c r="E17" i="45" s="1"/>
  <c r="F17" i="45" s="1"/>
  <c r="G17" i="45" s="1"/>
  <c r="H17" i="45" s="1"/>
  <c r="I17" i="45" s="1"/>
  <c r="J17" i="45" s="1"/>
  <c r="K17" i="45" s="1"/>
  <c r="L17" i="45" s="1"/>
  <c r="M17" i="45" s="1"/>
  <c r="N17" i="45" s="1"/>
  <c r="C19" i="45"/>
  <c r="D19" i="45" s="1"/>
  <c r="E19" i="45" s="1"/>
  <c r="F19" i="45" s="1"/>
  <c r="G19" i="45" s="1"/>
  <c r="H19" i="45" s="1"/>
  <c r="I19" i="45" s="1"/>
  <c r="J19" i="45" s="1"/>
  <c r="K19" i="45" s="1"/>
  <c r="L19" i="45" s="1"/>
  <c r="M19" i="45" s="1"/>
  <c r="N19" i="45" s="1"/>
  <c r="C21" i="45"/>
  <c r="D21" i="45" s="1"/>
  <c r="E21" i="45" s="1"/>
  <c r="F21" i="45" s="1"/>
  <c r="G21" i="45" s="1"/>
  <c r="H21" i="45" s="1"/>
  <c r="I21" i="45" s="1"/>
  <c r="J21" i="45" s="1"/>
  <c r="K21" i="45" s="1"/>
  <c r="L21" i="45" s="1"/>
  <c r="M21" i="45" s="1"/>
  <c r="N21" i="45" s="1"/>
  <c r="C23" i="45"/>
  <c r="D23" i="45" s="1"/>
  <c r="E23" i="45" s="1"/>
  <c r="F23" i="45" s="1"/>
  <c r="G23" i="45" s="1"/>
  <c r="H23" i="45" s="1"/>
  <c r="I23" i="45" s="1"/>
  <c r="J23" i="45" s="1"/>
  <c r="K23" i="45" s="1"/>
  <c r="L23" i="45" s="1"/>
  <c r="M23" i="45" s="1"/>
  <c r="N23" i="45" s="1"/>
  <c r="C25" i="45"/>
  <c r="D25" i="45" s="1"/>
  <c r="E25" i="45" s="1"/>
  <c r="F25" i="45" s="1"/>
  <c r="G25" i="45" s="1"/>
  <c r="H25" i="45" s="1"/>
  <c r="I25" i="45" s="1"/>
  <c r="J25" i="45" s="1"/>
  <c r="K25" i="45" s="1"/>
  <c r="L25" i="45" s="1"/>
  <c r="M25" i="45" s="1"/>
  <c r="N25" i="45" s="1"/>
  <c r="C27" i="45"/>
  <c r="D27" i="45" s="1"/>
  <c r="E27" i="45" s="1"/>
  <c r="F27" i="45" s="1"/>
  <c r="G27" i="45" s="1"/>
  <c r="H27" i="45" s="1"/>
  <c r="I27" i="45" s="1"/>
  <c r="J27" i="45" s="1"/>
  <c r="K27" i="45" s="1"/>
  <c r="L27" i="45" s="1"/>
  <c r="M27" i="45" s="1"/>
  <c r="N27" i="45" s="1"/>
  <c r="C29" i="45"/>
  <c r="D29" i="45" s="1"/>
  <c r="E29" i="45" s="1"/>
  <c r="F29" i="45" s="1"/>
  <c r="G29" i="45" s="1"/>
  <c r="H29" i="45" s="1"/>
  <c r="I29" i="45" s="1"/>
  <c r="J29" i="45" s="1"/>
  <c r="K29" i="45" s="1"/>
  <c r="L29" i="45" s="1"/>
  <c r="M29" i="45" s="1"/>
  <c r="N29" i="45" s="1"/>
  <c r="C31" i="45"/>
  <c r="D31" i="45" s="1"/>
  <c r="E31" i="45" s="1"/>
  <c r="F31" i="45" s="1"/>
  <c r="G31" i="45" s="1"/>
  <c r="H31" i="45" s="1"/>
  <c r="I31" i="45" s="1"/>
  <c r="J31" i="45" s="1"/>
  <c r="K31" i="45" s="1"/>
  <c r="L31" i="45" s="1"/>
  <c r="M31" i="45" s="1"/>
  <c r="N31" i="45" s="1"/>
  <c r="C33" i="45"/>
  <c r="D33" i="45" s="1"/>
  <c r="E33" i="45" s="1"/>
  <c r="F33" i="45" s="1"/>
  <c r="G33" i="45" s="1"/>
  <c r="H33" i="45" s="1"/>
  <c r="I33" i="45" s="1"/>
  <c r="J33" i="45" s="1"/>
  <c r="K33" i="45" s="1"/>
  <c r="L33" i="45" s="1"/>
  <c r="M33" i="45" s="1"/>
  <c r="N33" i="45" s="1"/>
  <c r="C5" i="48"/>
  <c r="C7" i="48"/>
  <c r="D7" i="48" s="1"/>
  <c r="E7" i="48" s="1"/>
  <c r="F7" i="48" s="1"/>
  <c r="G7" i="48" s="1"/>
  <c r="H7" i="48" s="1"/>
  <c r="I7" i="48" s="1"/>
  <c r="J7" i="48" s="1"/>
  <c r="K7" i="48" s="1"/>
  <c r="L7" i="48" s="1"/>
  <c r="M7" i="48" s="1"/>
  <c r="N7" i="48" s="1"/>
  <c r="C9" i="48"/>
  <c r="D9" i="48" s="1"/>
  <c r="E9" i="48" s="1"/>
  <c r="F9" i="48" s="1"/>
  <c r="G9" i="48" s="1"/>
  <c r="H9" i="48" s="1"/>
  <c r="I9" i="48" s="1"/>
  <c r="J9" i="48" s="1"/>
  <c r="K9" i="48" s="1"/>
  <c r="L9" i="48" s="1"/>
  <c r="M9" i="48" s="1"/>
  <c r="N9" i="48" s="1"/>
  <c r="C11" i="48"/>
  <c r="D11" i="48" s="1"/>
  <c r="E11" i="48" s="1"/>
  <c r="F11" i="48" s="1"/>
  <c r="G11" i="48" s="1"/>
  <c r="H11" i="48" s="1"/>
  <c r="I11" i="48" s="1"/>
  <c r="J11" i="48" s="1"/>
  <c r="K11" i="48" s="1"/>
  <c r="L11" i="48" s="1"/>
  <c r="M11" i="48" s="1"/>
  <c r="N11" i="48" s="1"/>
  <c r="C13" i="48"/>
  <c r="D13" i="48" s="1"/>
  <c r="E13" i="48" s="1"/>
  <c r="F13" i="48" s="1"/>
  <c r="G13" i="48" s="1"/>
  <c r="H13" i="48" s="1"/>
  <c r="I13" i="48" s="1"/>
  <c r="J13" i="48" s="1"/>
  <c r="K13" i="48" s="1"/>
  <c r="L13" i="48" s="1"/>
  <c r="M13" i="48" s="1"/>
  <c r="N13" i="48" s="1"/>
  <c r="C15" i="48"/>
  <c r="D15" i="48" s="1"/>
  <c r="E15" i="48" s="1"/>
  <c r="F15" i="48" s="1"/>
  <c r="G15" i="48" s="1"/>
  <c r="H15" i="48" s="1"/>
  <c r="I15" i="48" s="1"/>
  <c r="J15" i="48" s="1"/>
  <c r="K15" i="48" s="1"/>
  <c r="L15" i="48" s="1"/>
  <c r="M15" i="48" s="1"/>
  <c r="N15" i="48" s="1"/>
  <c r="C17" i="48"/>
  <c r="D17" i="48" s="1"/>
  <c r="E17" i="48" s="1"/>
  <c r="F17" i="48" s="1"/>
  <c r="G17" i="48" s="1"/>
  <c r="H17" i="48" s="1"/>
  <c r="I17" i="48" s="1"/>
  <c r="J17" i="48" s="1"/>
  <c r="K17" i="48" s="1"/>
  <c r="L17" i="48" s="1"/>
  <c r="M17" i="48" s="1"/>
  <c r="N17" i="48" s="1"/>
  <c r="C19" i="48"/>
  <c r="D19" i="48" s="1"/>
  <c r="E19" i="48" s="1"/>
  <c r="F19" i="48" s="1"/>
  <c r="G19" i="48" s="1"/>
  <c r="H19" i="48" s="1"/>
  <c r="I19" i="48" s="1"/>
  <c r="J19" i="48" s="1"/>
  <c r="K19" i="48" s="1"/>
  <c r="L19" i="48" s="1"/>
  <c r="M19" i="48" s="1"/>
  <c r="N19" i="48" s="1"/>
  <c r="C21" i="48"/>
  <c r="D21" i="48" s="1"/>
  <c r="E21" i="48" s="1"/>
  <c r="F21" i="48" s="1"/>
  <c r="G21" i="48" s="1"/>
  <c r="H21" i="48" s="1"/>
  <c r="I21" i="48" s="1"/>
  <c r="J21" i="48" s="1"/>
  <c r="K21" i="48" s="1"/>
  <c r="L21" i="48" s="1"/>
  <c r="M21" i="48" s="1"/>
  <c r="N21" i="48" s="1"/>
  <c r="C23" i="48"/>
  <c r="D23" i="48" s="1"/>
  <c r="E23" i="48" s="1"/>
  <c r="F23" i="48" s="1"/>
  <c r="G23" i="48" s="1"/>
  <c r="H23" i="48" s="1"/>
  <c r="I23" i="48" s="1"/>
  <c r="J23" i="48" s="1"/>
  <c r="K23" i="48" s="1"/>
  <c r="L23" i="48" s="1"/>
  <c r="M23" i="48" s="1"/>
  <c r="N23" i="48" s="1"/>
  <c r="C25" i="48"/>
  <c r="D25" i="48" s="1"/>
  <c r="E25" i="48" s="1"/>
  <c r="F25" i="48" s="1"/>
  <c r="G25" i="48" s="1"/>
  <c r="H25" i="48" s="1"/>
  <c r="I25" i="48" s="1"/>
  <c r="J25" i="48" s="1"/>
  <c r="K25" i="48" s="1"/>
  <c r="L25" i="48" s="1"/>
  <c r="M25" i="48" s="1"/>
  <c r="N25" i="48" s="1"/>
  <c r="C27" i="48"/>
  <c r="D27" i="48" s="1"/>
  <c r="E27" i="48" s="1"/>
  <c r="F27" i="48" s="1"/>
  <c r="G27" i="48" s="1"/>
  <c r="H27" i="48" s="1"/>
  <c r="I27" i="48" s="1"/>
  <c r="J27" i="48" s="1"/>
  <c r="K27" i="48" s="1"/>
  <c r="L27" i="48" s="1"/>
  <c r="M27" i="48" s="1"/>
  <c r="N27" i="48" s="1"/>
  <c r="C29" i="48"/>
  <c r="D29" i="48" s="1"/>
  <c r="E29" i="48" s="1"/>
  <c r="F29" i="48" s="1"/>
  <c r="G29" i="48" s="1"/>
  <c r="H29" i="48" s="1"/>
  <c r="I29" i="48" s="1"/>
  <c r="J29" i="48" s="1"/>
  <c r="K29" i="48" s="1"/>
  <c r="L29" i="48" s="1"/>
  <c r="M29" i="48" s="1"/>
  <c r="N29" i="48" s="1"/>
  <c r="C31" i="48"/>
  <c r="D31" i="48" s="1"/>
  <c r="E31" i="48" s="1"/>
  <c r="F31" i="48" s="1"/>
  <c r="G31" i="48" s="1"/>
  <c r="H31" i="48" s="1"/>
  <c r="I31" i="48" s="1"/>
  <c r="J31" i="48" s="1"/>
  <c r="K31" i="48" s="1"/>
  <c r="L31" i="48" s="1"/>
  <c r="M31" i="48" s="1"/>
  <c r="N31" i="48" s="1"/>
  <c r="C33" i="48"/>
  <c r="D33" i="48" s="1"/>
  <c r="E33" i="48" s="1"/>
  <c r="F33" i="48" s="1"/>
  <c r="G33" i="48" s="1"/>
  <c r="H33" i="48" s="1"/>
  <c r="I33" i="48" s="1"/>
  <c r="J33" i="48" s="1"/>
  <c r="K33" i="48" s="1"/>
  <c r="L33" i="48" s="1"/>
  <c r="M33" i="48" s="1"/>
  <c r="N33" i="48" s="1"/>
  <c r="C5" i="51"/>
  <c r="D5" i="51" s="1"/>
  <c r="C7" i="51"/>
  <c r="D7" i="51" s="1"/>
  <c r="E7" i="51" s="1"/>
  <c r="F7" i="51" s="1"/>
  <c r="G7" i="51" s="1"/>
  <c r="H7" i="51" s="1"/>
  <c r="I7" i="51" s="1"/>
  <c r="J7" i="51" s="1"/>
  <c r="K7" i="51" s="1"/>
  <c r="L7" i="51" s="1"/>
  <c r="M7" i="51" s="1"/>
  <c r="N7" i="51" s="1"/>
  <c r="C9" i="51"/>
  <c r="D9" i="51" s="1"/>
  <c r="E9" i="51" s="1"/>
  <c r="F9" i="51" s="1"/>
  <c r="G9" i="51" s="1"/>
  <c r="H9" i="51" s="1"/>
  <c r="I9" i="51" s="1"/>
  <c r="J9" i="51" s="1"/>
  <c r="K9" i="51" s="1"/>
  <c r="L9" i="51" s="1"/>
  <c r="M9" i="51" s="1"/>
  <c r="N9" i="51" s="1"/>
  <c r="C11" i="51"/>
  <c r="D11" i="51" s="1"/>
  <c r="E11" i="51" s="1"/>
  <c r="F11" i="51" s="1"/>
  <c r="G11" i="51" s="1"/>
  <c r="H11" i="51" s="1"/>
  <c r="I11" i="51" s="1"/>
  <c r="J11" i="51" s="1"/>
  <c r="K11" i="51" s="1"/>
  <c r="L11" i="51" s="1"/>
  <c r="M11" i="51" s="1"/>
  <c r="N11" i="51" s="1"/>
  <c r="C18" i="51"/>
  <c r="D18" i="51" s="1"/>
  <c r="E18" i="51" s="1"/>
  <c r="F18" i="51" s="1"/>
  <c r="G18" i="51" s="1"/>
  <c r="H18" i="51" s="1"/>
  <c r="I18" i="51" s="1"/>
  <c r="J18" i="51" s="1"/>
  <c r="K18" i="51" s="1"/>
  <c r="L18" i="51" s="1"/>
  <c r="M18" i="51" s="1"/>
  <c r="N18" i="51" s="1"/>
  <c r="C20" i="51"/>
  <c r="D20" i="51" s="1"/>
  <c r="E20" i="51" s="1"/>
  <c r="F20" i="51" s="1"/>
  <c r="G20" i="51" s="1"/>
  <c r="H20" i="51" s="1"/>
  <c r="I20" i="51" s="1"/>
  <c r="J20" i="51" s="1"/>
  <c r="K20" i="51" s="1"/>
  <c r="L20" i="51" s="1"/>
  <c r="M20" i="51" s="1"/>
  <c r="N20" i="51" s="1"/>
  <c r="C22" i="51"/>
  <c r="D22" i="51" s="1"/>
  <c r="E22" i="51" s="1"/>
  <c r="F22" i="51" s="1"/>
  <c r="G22" i="51" s="1"/>
  <c r="H22" i="51" s="1"/>
  <c r="I22" i="51" s="1"/>
  <c r="J22" i="51" s="1"/>
  <c r="K22" i="51" s="1"/>
  <c r="L22" i="51" s="1"/>
  <c r="M22" i="51" s="1"/>
  <c r="N22" i="51" s="1"/>
  <c r="C24" i="51"/>
  <c r="D24" i="51" s="1"/>
  <c r="E24" i="51" s="1"/>
  <c r="F24" i="51" s="1"/>
  <c r="G24" i="51" s="1"/>
  <c r="H24" i="51" s="1"/>
  <c r="I24" i="51" s="1"/>
  <c r="J24" i="51" s="1"/>
  <c r="K24" i="51" s="1"/>
  <c r="L24" i="51" s="1"/>
  <c r="M24" i="51" s="1"/>
  <c r="N24" i="51" s="1"/>
  <c r="C26" i="51"/>
  <c r="D26" i="51" s="1"/>
  <c r="E26" i="51" s="1"/>
  <c r="F26" i="51" s="1"/>
  <c r="G26" i="51" s="1"/>
  <c r="H26" i="51" s="1"/>
  <c r="I26" i="51" s="1"/>
  <c r="J26" i="51" s="1"/>
  <c r="K26" i="51" s="1"/>
  <c r="L26" i="51" s="1"/>
  <c r="M26" i="51" s="1"/>
  <c r="N26" i="51" s="1"/>
  <c r="C28" i="51"/>
  <c r="D28" i="51" s="1"/>
  <c r="E28" i="51" s="1"/>
  <c r="F28" i="51" s="1"/>
  <c r="G28" i="51" s="1"/>
  <c r="H28" i="51" s="1"/>
  <c r="I28" i="51" s="1"/>
  <c r="J28" i="51" s="1"/>
  <c r="K28" i="51" s="1"/>
  <c r="L28" i="51" s="1"/>
  <c r="M28" i="51" s="1"/>
  <c r="N28" i="51" s="1"/>
  <c r="C30" i="51"/>
  <c r="D30" i="51" s="1"/>
  <c r="E30" i="51" s="1"/>
  <c r="F30" i="51" s="1"/>
  <c r="G30" i="51" s="1"/>
  <c r="H30" i="51" s="1"/>
  <c r="I30" i="51" s="1"/>
  <c r="J30" i="51" s="1"/>
  <c r="K30" i="51" s="1"/>
  <c r="L30" i="51" s="1"/>
  <c r="M30" i="51" s="1"/>
  <c r="N30" i="51" s="1"/>
  <c r="C32" i="51"/>
  <c r="D32" i="51" s="1"/>
  <c r="E32" i="51" s="1"/>
  <c r="F32" i="51" s="1"/>
  <c r="G32" i="51" s="1"/>
  <c r="H32" i="51" s="1"/>
  <c r="I32" i="51" s="1"/>
  <c r="J32" i="51" s="1"/>
  <c r="K32" i="51" s="1"/>
  <c r="L32" i="51" s="1"/>
  <c r="M32" i="51" s="1"/>
  <c r="N32" i="51" s="1"/>
  <c r="C34" i="51"/>
  <c r="D34" i="51" s="1"/>
  <c r="E34" i="51" s="1"/>
  <c r="F34" i="51" s="1"/>
  <c r="G34" i="51" s="1"/>
  <c r="H34" i="51" s="1"/>
  <c r="I34" i="51" s="1"/>
  <c r="J34" i="51" s="1"/>
  <c r="K34" i="51" s="1"/>
  <c r="L34" i="51" s="1"/>
  <c r="M34" i="51" s="1"/>
  <c r="N34" i="51" s="1"/>
  <c r="C5" i="54"/>
  <c r="C7" i="54"/>
  <c r="D7" i="54" s="1"/>
  <c r="E7" i="54" s="1"/>
  <c r="F7" i="54" s="1"/>
  <c r="G7" i="54" s="1"/>
  <c r="H7" i="54" s="1"/>
  <c r="I7" i="54" s="1"/>
  <c r="J7" i="54" s="1"/>
  <c r="K7" i="54" s="1"/>
  <c r="L7" i="54" s="1"/>
  <c r="M7" i="54" s="1"/>
  <c r="N7" i="54" s="1"/>
  <c r="C9" i="54"/>
  <c r="D9" i="54" s="1"/>
  <c r="E9" i="54" s="1"/>
  <c r="F9" i="54" s="1"/>
  <c r="G9" i="54" s="1"/>
  <c r="H9" i="54" s="1"/>
  <c r="I9" i="54" s="1"/>
  <c r="J9" i="54" s="1"/>
  <c r="K9" i="54" s="1"/>
  <c r="L9" i="54" s="1"/>
  <c r="M9" i="54" s="1"/>
  <c r="N9" i="54" s="1"/>
  <c r="C11" i="54"/>
  <c r="D11" i="54" s="1"/>
  <c r="E11" i="54" s="1"/>
  <c r="F11" i="54" s="1"/>
  <c r="G11" i="54" s="1"/>
  <c r="H11" i="54" s="1"/>
  <c r="I11" i="54" s="1"/>
  <c r="J11" i="54" s="1"/>
  <c r="K11" i="54" s="1"/>
  <c r="L11" i="54" s="1"/>
  <c r="M11" i="54" s="1"/>
  <c r="N11" i="54" s="1"/>
  <c r="C13" i="54"/>
  <c r="D13" i="54" s="1"/>
  <c r="E13" i="54" s="1"/>
  <c r="F13" i="54" s="1"/>
  <c r="G13" i="54" s="1"/>
  <c r="H13" i="54" s="1"/>
  <c r="I13" i="54" s="1"/>
  <c r="J13" i="54" s="1"/>
  <c r="K13" i="54" s="1"/>
  <c r="L13" i="54" s="1"/>
  <c r="M13" i="54" s="1"/>
  <c r="N13" i="54" s="1"/>
  <c r="C15" i="54"/>
  <c r="D15" i="54" s="1"/>
  <c r="E15" i="54" s="1"/>
  <c r="F15" i="54" s="1"/>
  <c r="G15" i="54" s="1"/>
  <c r="H15" i="54" s="1"/>
  <c r="I15" i="54" s="1"/>
  <c r="J15" i="54" s="1"/>
  <c r="K15" i="54" s="1"/>
  <c r="L15" i="54" s="1"/>
  <c r="M15" i="54" s="1"/>
  <c r="N15" i="54" s="1"/>
  <c r="C17" i="54"/>
  <c r="D17" i="54" s="1"/>
  <c r="E17" i="54" s="1"/>
  <c r="F17" i="54" s="1"/>
  <c r="G17" i="54" s="1"/>
  <c r="H17" i="54" s="1"/>
  <c r="I17" i="54" s="1"/>
  <c r="J17" i="54" s="1"/>
  <c r="K17" i="54" s="1"/>
  <c r="L17" i="54" s="1"/>
  <c r="M17" i="54" s="1"/>
  <c r="N17" i="54" s="1"/>
  <c r="C19" i="54"/>
  <c r="D19" i="54" s="1"/>
  <c r="E19" i="54" s="1"/>
  <c r="F19" i="54" s="1"/>
  <c r="G19" i="54" s="1"/>
  <c r="H19" i="54" s="1"/>
  <c r="I19" i="54" s="1"/>
  <c r="J19" i="54" s="1"/>
  <c r="K19" i="54" s="1"/>
  <c r="L19" i="54" s="1"/>
  <c r="M19" i="54" s="1"/>
  <c r="N19" i="54" s="1"/>
  <c r="C21" i="54"/>
  <c r="D21" i="54" s="1"/>
  <c r="E21" i="54" s="1"/>
  <c r="F21" i="54" s="1"/>
  <c r="G21" i="54" s="1"/>
  <c r="H21" i="54" s="1"/>
  <c r="I21" i="54" s="1"/>
  <c r="J21" i="54" s="1"/>
  <c r="K21" i="54" s="1"/>
  <c r="L21" i="54" s="1"/>
  <c r="M21" i="54" s="1"/>
  <c r="N21" i="54" s="1"/>
  <c r="C23" i="54"/>
  <c r="D23" i="54" s="1"/>
  <c r="E23" i="54" s="1"/>
  <c r="F23" i="54" s="1"/>
  <c r="G23" i="54" s="1"/>
  <c r="H23" i="54" s="1"/>
  <c r="I23" i="54" s="1"/>
  <c r="J23" i="54" s="1"/>
  <c r="K23" i="54" s="1"/>
  <c r="L23" i="54" s="1"/>
  <c r="M23" i="54" s="1"/>
  <c r="N23" i="54" s="1"/>
  <c r="C25" i="54"/>
  <c r="D25" i="54" s="1"/>
  <c r="E25" i="54" s="1"/>
  <c r="F25" i="54" s="1"/>
  <c r="G25" i="54" s="1"/>
  <c r="H25" i="54" s="1"/>
  <c r="I25" i="54" s="1"/>
  <c r="J25" i="54" s="1"/>
  <c r="K25" i="54" s="1"/>
  <c r="L25" i="54" s="1"/>
  <c r="M25" i="54" s="1"/>
  <c r="N25" i="54" s="1"/>
  <c r="C27" i="54"/>
  <c r="D27" i="54" s="1"/>
  <c r="E27" i="54" s="1"/>
  <c r="F27" i="54" s="1"/>
  <c r="G27" i="54" s="1"/>
  <c r="H27" i="54" s="1"/>
  <c r="I27" i="54" s="1"/>
  <c r="J27" i="54" s="1"/>
  <c r="K27" i="54" s="1"/>
  <c r="L27" i="54" s="1"/>
  <c r="M27" i="54" s="1"/>
  <c r="N27" i="54" s="1"/>
  <c r="C29" i="54"/>
  <c r="D29" i="54" s="1"/>
  <c r="E29" i="54" s="1"/>
  <c r="F29" i="54" s="1"/>
  <c r="G29" i="54" s="1"/>
  <c r="H29" i="54" s="1"/>
  <c r="I29" i="54" s="1"/>
  <c r="J29" i="54" s="1"/>
  <c r="K29" i="54" s="1"/>
  <c r="L29" i="54" s="1"/>
  <c r="M29" i="54" s="1"/>
  <c r="N29" i="54" s="1"/>
  <c r="C31" i="54"/>
  <c r="D31" i="54" s="1"/>
  <c r="E31" i="54" s="1"/>
  <c r="F31" i="54" s="1"/>
  <c r="G31" i="54" s="1"/>
  <c r="H31" i="54" s="1"/>
  <c r="I31" i="54" s="1"/>
  <c r="J31" i="54" s="1"/>
  <c r="K31" i="54" s="1"/>
  <c r="L31" i="54" s="1"/>
  <c r="M31" i="54" s="1"/>
  <c r="N31" i="54" s="1"/>
  <c r="C33" i="54"/>
  <c r="D33" i="54" s="1"/>
  <c r="E33" i="54" s="1"/>
  <c r="F33" i="54" s="1"/>
  <c r="G33" i="54" s="1"/>
  <c r="H33" i="54" s="1"/>
  <c r="I33" i="54" s="1"/>
  <c r="J33" i="54" s="1"/>
  <c r="K33" i="54" s="1"/>
  <c r="L33" i="54" s="1"/>
  <c r="M33" i="54" s="1"/>
  <c r="N33" i="54" s="1"/>
  <c r="C5" i="57"/>
  <c r="D5" i="57" s="1"/>
  <c r="E5" i="57" s="1"/>
  <c r="C7" i="57"/>
  <c r="D7" i="57" s="1"/>
  <c r="E7" i="57" s="1"/>
  <c r="F7" i="57" s="1"/>
  <c r="G7" i="57" s="1"/>
  <c r="H7" i="57" s="1"/>
  <c r="I7" i="57" s="1"/>
  <c r="J7" i="57" s="1"/>
  <c r="K7" i="57" s="1"/>
  <c r="L7" i="57" s="1"/>
  <c r="M7" i="57" s="1"/>
  <c r="N7" i="57" s="1"/>
  <c r="C9" i="57"/>
  <c r="D9" i="57" s="1"/>
  <c r="E9" i="57" s="1"/>
  <c r="F9" i="57" s="1"/>
  <c r="G9" i="57" s="1"/>
  <c r="H9" i="57" s="1"/>
  <c r="I9" i="57" s="1"/>
  <c r="J9" i="57" s="1"/>
  <c r="K9" i="57" s="1"/>
  <c r="L9" i="57" s="1"/>
  <c r="M9" i="57" s="1"/>
  <c r="N9" i="57" s="1"/>
  <c r="C11" i="57"/>
  <c r="D11" i="57" s="1"/>
  <c r="E11" i="57" s="1"/>
  <c r="F11" i="57" s="1"/>
  <c r="G11" i="57" s="1"/>
  <c r="H11" i="57" s="1"/>
  <c r="I11" i="57" s="1"/>
  <c r="J11" i="57" s="1"/>
  <c r="K11" i="57" s="1"/>
  <c r="L11" i="57" s="1"/>
  <c r="M11" i="57" s="1"/>
  <c r="N11" i="57" s="1"/>
  <c r="C13" i="57"/>
  <c r="D13" i="57" s="1"/>
  <c r="E13" i="57" s="1"/>
  <c r="F13" i="57" s="1"/>
  <c r="G13" i="57" s="1"/>
  <c r="H13" i="57" s="1"/>
  <c r="I13" i="57" s="1"/>
  <c r="J13" i="57" s="1"/>
  <c r="K13" i="57" s="1"/>
  <c r="L13" i="57" s="1"/>
  <c r="M13" i="57" s="1"/>
  <c r="N13" i="57" s="1"/>
  <c r="C15" i="57"/>
  <c r="D15" i="57" s="1"/>
  <c r="E15" i="57" s="1"/>
  <c r="F15" i="57" s="1"/>
  <c r="G15" i="57" s="1"/>
  <c r="H15" i="57" s="1"/>
  <c r="I15" i="57" s="1"/>
  <c r="J15" i="57" s="1"/>
  <c r="K15" i="57" s="1"/>
  <c r="L15" i="57" s="1"/>
  <c r="M15" i="57" s="1"/>
  <c r="N15" i="57" s="1"/>
  <c r="C17" i="57"/>
  <c r="D17" i="57" s="1"/>
  <c r="E17" i="57" s="1"/>
  <c r="F17" i="57" s="1"/>
  <c r="G17" i="57" s="1"/>
  <c r="H17" i="57" s="1"/>
  <c r="I17" i="57" s="1"/>
  <c r="J17" i="57" s="1"/>
  <c r="K17" i="57" s="1"/>
  <c r="L17" i="57" s="1"/>
  <c r="M17" i="57" s="1"/>
  <c r="N17" i="57" s="1"/>
  <c r="C19" i="57"/>
  <c r="D19" i="57" s="1"/>
  <c r="E19" i="57" s="1"/>
  <c r="F19" i="57" s="1"/>
  <c r="G19" i="57" s="1"/>
  <c r="H19" i="57" s="1"/>
  <c r="I19" i="57" s="1"/>
  <c r="J19" i="57" s="1"/>
  <c r="K19" i="57" s="1"/>
  <c r="L19" i="57" s="1"/>
  <c r="M19" i="57" s="1"/>
  <c r="N19" i="57" s="1"/>
  <c r="C21" i="57"/>
  <c r="D21" i="57" s="1"/>
  <c r="E21" i="57" s="1"/>
  <c r="F21" i="57" s="1"/>
  <c r="G21" i="57" s="1"/>
  <c r="H21" i="57" s="1"/>
  <c r="I21" i="57" s="1"/>
  <c r="J21" i="57" s="1"/>
  <c r="K21" i="57" s="1"/>
  <c r="L21" i="57" s="1"/>
  <c r="M21" i="57" s="1"/>
  <c r="N21" i="57" s="1"/>
  <c r="C23" i="57"/>
  <c r="D23" i="57" s="1"/>
  <c r="E23" i="57" s="1"/>
  <c r="F23" i="57" s="1"/>
  <c r="G23" i="57" s="1"/>
  <c r="H23" i="57" s="1"/>
  <c r="I23" i="57" s="1"/>
  <c r="J23" i="57" s="1"/>
  <c r="K23" i="57" s="1"/>
  <c r="L23" i="57" s="1"/>
  <c r="M23" i="57" s="1"/>
  <c r="N23" i="57" s="1"/>
  <c r="C25" i="57"/>
  <c r="D25" i="57" s="1"/>
  <c r="E25" i="57" s="1"/>
  <c r="F25" i="57" s="1"/>
  <c r="G25" i="57" s="1"/>
  <c r="H25" i="57" s="1"/>
  <c r="I25" i="57" s="1"/>
  <c r="J25" i="57" s="1"/>
  <c r="K25" i="57" s="1"/>
  <c r="L25" i="57" s="1"/>
  <c r="M25" i="57" s="1"/>
  <c r="N25" i="57" s="1"/>
  <c r="C27" i="57"/>
  <c r="D27" i="57" s="1"/>
  <c r="E27" i="57" s="1"/>
  <c r="F27" i="57" s="1"/>
  <c r="G27" i="57" s="1"/>
  <c r="H27" i="57" s="1"/>
  <c r="I27" i="57" s="1"/>
  <c r="J27" i="57" s="1"/>
  <c r="K27" i="57" s="1"/>
  <c r="L27" i="57" s="1"/>
  <c r="M27" i="57" s="1"/>
  <c r="N27" i="57" s="1"/>
  <c r="C29" i="57"/>
  <c r="D29" i="57" s="1"/>
  <c r="E29" i="57" s="1"/>
  <c r="F29" i="57" s="1"/>
  <c r="G29" i="57" s="1"/>
  <c r="H29" i="57" s="1"/>
  <c r="I29" i="57" s="1"/>
  <c r="J29" i="57" s="1"/>
  <c r="K29" i="57" s="1"/>
  <c r="L29" i="57" s="1"/>
  <c r="M29" i="57" s="1"/>
  <c r="N29" i="57" s="1"/>
  <c r="C31" i="57"/>
  <c r="D31" i="57" s="1"/>
  <c r="E31" i="57" s="1"/>
  <c r="F31" i="57" s="1"/>
  <c r="G31" i="57" s="1"/>
  <c r="H31" i="57" s="1"/>
  <c r="I31" i="57" s="1"/>
  <c r="J31" i="57" s="1"/>
  <c r="K31" i="57" s="1"/>
  <c r="L31" i="57" s="1"/>
  <c r="M31" i="57" s="1"/>
  <c r="N31" i="57" s="1"/>
  <c r="C33" i="57"/>
  <c r="D33" i="57" s="1"/>
  <c r="E33" i="57" s="1"/>
  <c r="F33" i="57" s="1"/>
  <c r="G33" i="57" s="1"/>
  <c r="H33" i="57" s="1"/>
  <c r="I33" i="57" s="1"/>
  <c r="J33" i="57" s="1"/>
  <c r="K33" i="57" s="1"/>
  <c r="L33" i="57" s="1"/>
  <c r="M33" i="57" s="1"/>
  <c r="N33" i="57" s="1"/>
  <c r="F37" i="36"/>
  <c r="D37" i="36"/>
  <c r="E5" i="30"/>
  <c r="D5" i="19"/>
  <c r="O24" i="25"/>
  <c r="O34" i="25"/>
  <c r="D13" i="25"/>
  <c r="E13" i="25" s="1"/>
  <c r="F13" i="25" s="1"/>
  <c r="G13" i="25" s="1"/>
  <c r="H13" i="25" s="1"/>
  <c r="I13" i="25" s="1"/>
  <c r="J13" i="25" s="1"/>
  <c r="K13" i="25" s="1"/>
  <c r="L13" i="25" s="1"/>
  <c r="M13" i="25" s="1"/>
  <c r="N13" i="25" s="1"/>
  <c r="G5" i="36"/>
  <c r="C37" i="36"/>
  <c r="E37" i="36"/>
  <c r="E5" i="42"/>
  <c r="C33" i="42"/>
  <c r="D33" i="42" s="1"/>
  <c r="E33" i="42" s="1"/>
  <c r="F33" i="42" s="1"/>
  <c r="G33" i="42" s="1"/>
  <c r="H33" i="42" s="1"/>
  <c r="I33" i="42" s="1"/>
  <c r="J33" i="42" s="1"/>
  <c r="K33" i="42" s="1"/>
  <c r="L33" i="42" s="1"/>
  <c r="M33" i="42" s="1"/>
  <c r="N33" i="42" s="1"/>
  <c r="C34" i="42"/>
  <c r="D34" i="42" s="1"/>
  <c r="E34" i="42" s="1"/>
  <c r="F34" i="42" s="1"/>
  <c r="G34" i="42" s="1"/>
  <c r="H34" i="42" s="1"/>
  <c r="I34" i="42" s="1"/>
  <c r="J34" i="42" s="1"/>
  <c r="K34" i="42" s="1"/>
  <c r="L34" i="42" s="1"/>
  <c r="M34" i="42" s="1"/>
  <c r="N34" i="42" s="1"/>
  <c r="C35" i="42"/>
  <c r="D35" i="42" s="1"/>
  <c r="E35" i="42" s="1"/>
  <c r="F35" i="42" s="1"/>
  <c r="G35" i="42" s="1"/>
  <c r="H35" i="42" s="1"/>
  <c r="I35" i="42" s="1"/>
  <c r="J35" i="42" s="1"/>
  <c r="K35" i="42" s="1"/>
  <c r="L35" i="42" s="1"/>
  <c r="M35" i="42" s="1"/>
  <c r="N35" i="42" s="1"/>
  <c r="D5" i="48"/>
  <c r="D5" i="54"/>
  <c r="G11" i="9"/>
  <c r="D37" i="57" l="1"/>
  <c r="C37" i="57"/>
  <c r="C37" i="30"/>
  <c r="D37" i="30"/>
  <c r="D11" i="25"/>
  <c r="E11" i="25" s="1"/>
  <c r="F11" i="25" s="1"/>
  <c r="G11" i="25" s="1"/>
  <c r="H11" i="25" s="1"/>
  <c r="I11" i="25" s="1"/>
  <c r="J11" i="25" s="1"/>
  <c r="K11" i="25" s="1"/>
  <c r="L11" i="25" s="1"/>
  <c r="M11" i="25" s="1"/>
  <c r="N11" i="25" s="1"/>
  <c r="C37" i="51"/>
  <c r="C37" i="45"/>
  <c r="C37" i="25"/>
  <c r="C37" i="22"/>
  <c r="C37" i="16"/>
  <c r="D15" i="25"/>
  <c r="E15" i="25" s="1"/>
  <c r="F15" i="25" s="1"/>
  <c r="G15" i="25" s="1"/>
  <c r="H15" i="25" s="1"/>
  <c r="I15" i="25" s="1"/>
  <c r="J15" i="25" s="1"/>
  <c r="K15" i="25" s="1"/>
  <c r="L15" i="25" s="1"/>
  <c r="M15" i="25" s="1"/>
  <c r="N15" i="25" s="1"/>
  <c r="C37" i="54"/>
  <c r="C37" i="48"/>
  <c r="C37" i="19"/>
  <c r="F5" i="57"/>
  <c r="E37" i="57"/>
  <c r="E5" i="54"/>
  <c r="D37" i="54"/>
  <c r="E5" i="48"/>
  <c r="D37" i="48"/>
  <c r="H5" i="36"/>
  <c r="G37" i="36"/>
  <c r="E5" i="22"/>
  <c r="D37" i="22"/>
  <c r="E5" i="16"/>
  <c r="D37" i="16"/>
  <c r="C37" i="42"/>
  <c r="D37" i="51"/>
  <c r="E5" i="51"/>
  <c r="D37" i="45"/>
  <c r="E5" i="45"/>
  <c r="F5" i="42"/>
  <c r="E37" i="42"/>
  <c r="D37" i="25"/>
  <c r="E5" i="25"/>
  <c r="E5" i="19"/>
  <c r="D37" i="19"/>
  <c r="F5" i="30"/>
  <c r="E37" i="30"/>
  <c r="D37" i="42"/>
  <c r="O13" i="25"/>
  <c r="H11" i="9"/>
  <c r="O15" i="25" l="1"/>
  <c r="O11" i="25"/>
  <c r="F37" i="30"/>
  <c r="G5" i="30"/>
  <c r="E37" i="19"/>
  <c r="F5" i="19"/>
  <c r="F37" i="42"/>
  <c r="G5" i="42"/>
  <c r="D93" i="42"/>
  <c r="D91" i="42"/>
  <c r="D89" i="42"/>
  <c r="D87" i="42"/>
  <c r="D85" i="42"/>
  <c r="D83" i="42"/>
  <c r="D81" i="42"/>
  <c r="D79" i="42"/>
  <c r="D94" i="42"/>
  <c r="D92" i="42"/>
  <c r="D90" i="42"/>
  <c r="D88" i="42"/>
  <c r="D86" i="42"/>
  <c r="D84" i="42"/>
  <c r="D82" i="42"/>
  <c r="D80" i="42"/>
  <c r="D78" i="42"/>
  <c r="E37" i="48"/>
  <c r="F5" i="48"/>
  <c r="E37" i="54"/>
  <c r="F5" i="54"/>
  <c r="F37" i="57"/>
  <c r="G5" i="57"/>
  <c r="E37" i="25"/>
  <c r="F5" i="25"/>
  <c r="E37" i="45"/>
  <c r="F5" i="45"/>
  <c r="E37" i="51"/>
  <c r="F5" i="51"/>
  <c r="E37" i="16"/>
  <c r="F5" i="16"/>
  <c r="E37" i="22"/>
  <c r="F5" i="22"/>
  <c r="H37" i="36"/>
  <c r="I5" i="36"/>
  <c r="J5" i="36" l="1"/>
  <c r="I37" i="36"/>
  <c r="G5" i="22"/>
  <c r="F37" i="22"/>
  <c r="G5" i="16"/>
  <c r="F37" i="16"/>
  <c r="F37" i="51"/>
  <c r="G5" i="51"/>
  <c r="F37" i="45"/>
  <c r="G5" i="45"/>
  <c r="F37" i="25"/>
  <c r="G5" i="25"/>
  <c r="H5" i="57"/>
  <c r="G37" i="57"/>
  <c r="G5" i="54"/>
  <c r="F37" i="54"/>
  <c r="G5" i="48"/>
  <c r="F37" i="48"/>
  <c r="H5" i="42"/>
  <c r="G37" i="42"/>
  <c r="G5" i="19"/>
  <c r="F37" i="19"/>
  <c r="H5" i="30"/>
  <c r="G37" i="30"/>
  <c r="H37" i="30" l="1"/>
  <c r="I5" i="30"/>
  <c r="G37" i="48"/>
  <c r="H5" i="48"/>
  <c r="G37" i="54"/>
  <c r="H5" i="54"/>
  <c r="H37" i="57"/>
  <c r="I5" i="57"/>
  <c r="G37" i="16"/>
  <c r="H5" i="16"/>
  <c r="G37" i="22"/>
  <c r="H5" i="22"/>
  <c r="J37" i="36"/>
  <c r="K5" i="36"/>
  <c r="G37" i="19"/>
  <c r="H5" i="19"/>
  <c r="H37" i="42"/>
  <c r="I5" i="42"/>
  <c r="G37" i="25"/>
  <c r="H5" i="25"/>
  <c r="G37" i="45"/>
  <c r="H5" i="45"/>
  <c r="G37" i="51"/>
  <c r="H5" i="51"/>
  <c r="H37" i="51" l="1"/>
  <c r="I5" i="51"/>
  <c r="H37" i="45"/>
  <c r="I5" i="45"/>
  <c r="H37" i="25"/>
  <c r="I5" i="25"/>
  <c r="J5" i="42"/>
  <c r="I37" i="42"/>
  <c r="I5" i="19"/>
  <c r="H37" i="19"/>
  <c r="L5" i="36"/>
  <c r="K37" i="36"/>
  <c r="I5" i="22"/>
  <c r="H37" i="22"/>
  <c r="I5" i="16"/>
  <c r="H37" i="16"/>
  <c r="J5" i="57"/>
  <c r="I37" i="57"/>
  <c r="I5" i="54"/>
  <c r="H37" i="54"/>
  <c r="I5" i="48"/>
  <c r="H37" i="48"/>
  <c r="J5" i="30"/>
  <c r="I37" i="30"/>
  <c r="I37" i="25" l="1"/>
  <c r="J5" i="25"/>
  <c r="I37" i="45"/>
  <c r="J5" i="45"/>
  <c r="I37" i="51"/>
  <c r="J5" i="51"/>
  <c r="J37" i="30"/>
  <c r="K5" i="30"/>
  <c r="I37" i="48"/>
  <c r="J5" i="48"/>
  <c r="I37" i="54"/>
  <c r="J5" i="54"/>
  <c r="J37" i="57"/>
  <c r="K5" i="57"/>
  <c r="I37" i="16"/>
  <c r="J5" i="16"/>
  <c r="I37" i="22"/>
  <c r="J5" i="22"/>
  <c r="L37" i="36"/>
  <c r="M5" i="36"/>
  <c r="I37" i="19"/>
  <c r="J5" i="19"/>
  <c r="J37" i="42"/>
  <c r="K5" i="42"/>
  <c r="L5" i="42" l="1"/>
  <c r="K37" i="42"/>
  <c r="K5" i="19"/>
  <c r="J37" i="19"/>
  <c r="N5" i="36"/>
  <c r="N37" i="36" s="1"/>
  <c r="M37" i="36"/>
  <c r="K5" i="22"/>
  <c r="J37" i="22"/>
  <c r="K5" i="16"/>
  <c r="J37" i="16"/>
  <c r="L5" i="57"/>
  <c r="K37" i="57"/>
  <c r="K5" i="54"/>
  <c r="J37" i="54"/>
  <c r="K5" i="48"/>
  <c r="J37" i="48"/>
  <c r="L5" i="30"/>
  <c r="K37" i="30"/>
  <c r="J37" i="51"/>
  <c r="K5" i="51"/>
  <c r="J37" i="45"/>
  <c r="K5" i="45"/>
  <c r="J37" i="25"/>
  <c r="K5" i="25"/>
  <c r="K37" i="25" l="1"/>
  <c r="L5" i="25"/>
  <c r="K37" i="45"/>
  <c r="L5" i="45"/>
  <c r="L37" i="30"/>
  <c r="M5" i="30"/>
  <c r="K37" i="48"/>
  <c r="L5" i="48"/>
  <c r="K37" i="54"/>
  <c r="L5" i="54"/>
  <c r="L37" i="57"/>
  <c r="M5" i="57"/>
  <c r="K37" i="16"/>
  <c r="L5" i="16"/>
  <c r="K37" i="22"/>
  <c r="L5" i="22"/>
  <c r="K37" i="19"/>
  <c r="L5" i="19"/>
  <c r="L37" i="42"/>
  <c r="M5" i="42"/>
  <c r="K37" i="51"/>
  <c r="L5" i="51"/>
  <c r="L37" i="51" l="1"/>
  <c r="M5" i="51"/>
  <c r="N5" i="42"/>
  <c r="N37" i="42" s="1"/>
  <c r="M37" i="42"/>
  <c r="M5" i="19"/>
  <c r="L37" i="19"/>
  <c r="M5" i="22"/>
  <c r="L37" i="22"/>
  <c r="M5" i="16"/>
  <c r="L37" i="16"/>
  <c r="N5" i="57"/>
  <c r="N37" i="57" s="1"/>
  <c r="M37" i="57"/>
  <c r="M5" i="54"/>
  <c r="L37" i="54"/>
  <c r="M5" i="48"/>
  <c r="L37" i="48"/>
  <c r="N5" i="30"/>
  <c r="N37" i="30" s="1"/>
  <c r="M37" i="30"/>
  <c r="L37" i="45"/>
  <c r="M5" i="45"/>
  <c r="L37" i="25"/>
  <c r="M5" i="25"/>
  <c r="M37" i="25" l="1"/>
  <c r="N5" i="25"/>
  <c r="N37" i="25" s="1"/>
  <c r="M37" i="45"/>
  <c r="N5" i="45"/>
  <c r="N37" i="45" s="1"/>
  <c r="M37" i="48"/>
  <c r="N5" i="48"/>
  <c r="N37" i="48" s="1"/>
  <c r="M37" i="54"/>
  <c r="N5" i="54"/>
  <c r="N37" i="54" s="1"/>
  <c r="M37" i="16"/>
  <c r="N5" i="16"/>
  <c r="N37" i="16" s="1"/>
  <c r="M37" i="22"/>
  <c r="N5" i="22"/>
  <c r="N37" i="22" s="1"/>
  <c r="M37" i="19"/>
  <c r="N5" i="19"/>
  <c r="N37" i="19" s="1"/>
  <c r="M37" i="51"/>
  <c r="N5" i="51"/>
  <c r="N37" i="51" s="1"/>
  <c r="I35" i="81"/>
  <c r="I200" i="81"/>
  <c r="H35" i="81"/>
  <c r="H200" i="81"/>
  <c r="G35" i="81"/>
  <c r="G200" i="81"/>
  <c r="F35" i="81"/>
  <c r="F200" i="81"/>
  <c r="E35" i="81"/>
  <c r="E200" i="81"/>
  <c r="D35" i="81"/>
  <c r="D200" i="81"/>
  <c r="C35" i="81"/>
  <c r="C200" i="81"/>
</calcChain>
</file>

<file path=xl/comments1.xml><?xml version="1.0" encoding="utf-8"?>
<comments xmlns="http://schemas.openxmlformats.org/spreadsheetml/2006/main">
  <authors>
    <author>Ali Akbar Faraji</author>
  </authors>
  <commentList>
    <comment ref="B14" authorId="0" shapeId="0">
      <text>
        <r>
          <rPr>
            <b/>
            <sz val="9"/>
            <color indexed="81"/>
            <rFont val="Tahoma"/>
          </rPr>
          <t>حذف شده است</t>
        </r>
      </text>
    </comment>
  </commentList>
</comments>
</file>

<file path=xl/comments10.xml><?xml version="1.0" encoding="utf-8"?>
<comments xmlns="http://schemas.openxmlformats.org/spreadsheetml/2006/main">
  <authors>
    <author>Dr faraji</author>
    <author>Ali Akbar Faraji</author>
  </authors>
  <commentList>
    <comment ref="B2" authorId="0" shapeId="0">
      <text>
        <r>
          <rPr>
            <b/>
            <sz val="12"/>
            <color indexed="17"/>
            <rFont val="B Esfehan"/>
            <charset val="178"/>
          </rPr>
          <t>لطفاً فقط ستون حجم عمليات بخش دولتی و خصوصی را در صورتي كه استان واجد عمليات مي باشد تكميل نماييد.</t>
        </r>
      </text>
    </comment>
    <comment ref="B4" authorId="1" shapeId="0">
      <text>
        <r>
          <rPr>
            <b/>
            <i/>
            <sz val="12"/>
            <color indexed="17"/>
            <rFont val="B Esfehan"/>
            <charset val="178"/>
          </rPr>
          <t>راس</t>
        </r>
      </text>
    </comment>
    <comment ref="B5" authorId="1" shapeId="0">
      <text>
        <r>
          <rPr>
            <b/>
            <i/>
            <sz val="12"/>
            <color indexed="17"/>
            <rFont val="B Esfehan"/>
            <charset val="178"/>
          </rPr>
          <t>راس</t>
        </r>
      </text>
    </comment>
    <comment ref="B6" authorId="1" shapeId="0">
      <text>
        <r>
          <rPr>
            <b/>
            <i/>
            <sz val="12"/>
            <color indexed="17"/>
            <rFont val="B Esfehan"/>
            <charset val="178"/>
          </rPr>
          <t>راس</t>
        </r>
      </text>
    </comment>
    <comment ref="B7" authorId="1" shapeId="0">
      <text>
        <r>
          <rPr>
            <b/>
            <i/>
            <sz val="12"/>
            <color indexed="17"/>
            <rFont val="B Esfehan"/>
            <charset val="178"/>
          </rPr>
          <t>راس</t>
        </r>
      </text>
    </comment>
    <comment ref="B8" authorId="1" shapeId="0">
      <text>
        <r>
          <rPr>
            <b/>
            <i/>
            <sz val="12"/>
            <color indexed="17"/>
            <rFont val="B Esfehan"/>
            <charset val="178"/>
          </rPr>
          <t>راس</t>
        </r>
      </text>
    </comment>
    <comment ref="B9" authorId="1" shapeId="0">
      <text>
        <r>
          <rPr>
            <b/>
            <i/>
            <sz val="12"/>
            <color indexed="17"/>
            <rFont val="B Esfehan"/>
            <charset val="178"/>
          </rPr>
          <t>راس</t>
        </r>
      </text>
    </comment>
    <comment ref="B10" authorId="1" shapeId="0">
      <text>
        <r>
          <rPr>
            <b/>
            <i/>
            <sz val="12"/>
            <color indexed="17"/>
            <rFont val="B Esfehan"/>
            <charset val="178"/>
          </rPr>
          <t>راس</t>
        </r>
      </text>
    </comment>
    <comment ref="B11" authorId="1" shapeId="0">
      <text>
        <r>
          <rPr>
            <b/>
            <i/>
            <sz val="12"/>
            <color indexed="17"/>
            <rFont val="B Esfehan"/>
            <charset val="178"/>
          </rPr>
          <t>راس</t>
        </r>
      </text>
    </comment>
    <comment ref="B12" authorId="1" shapeId="0">
      <text>
        <r>
          <rPr>
            <b/>
            <i/>
            <sz val="12"/>
            <color indexed="17"/>
            <rFont val="B Esfehan"/>
            <charset val="178"/>
          </rPr>
          <t>راس</t>
        </r>
      </text>
    </comment>
    <comment ref="B13" authorId="1" shapeId="0">
      <text>
        <r>
          <rPr>
            <b/>
            <i/>
            <sz val="12"/>
            <color indexed="17"/>
            <rFont val="B Esfehan"/>
            <charset val="178"/>
          </rPr>
          <t>راس</t>
        </r>
      </text>
    </comment>
    <comment ref="B14" authorId="1" shapeId="0">
      <text>
        <r>
          <rPr>
            <b/>
            <i/>
            <sz val="12"/>
            <color indexed="17"/>
            <rFont val="B Esfehan"/>
            <charset val="178"/>
          </rPr>
          <t>راس</t>
        </r>
      </text>
    </comment>
    <comment ref="B15" authorId="1" shapeId="0">
      <text>
        <r>
          <rPr>
            <b/>
            <i/>
            <sz val="12"/>
            <color indexed="17"/>
            <rFont val="B Esfehan"/>
            <charset val="178"/>
          </rPr>
          <t>راس</t>
        </r>
      </text>
    </comment>
    <comment ref="B16" authorId="1" shapeId="0">
      <text>
        <r>
          <rPr>
            <b/>
            <i/>
            <sz val="12"/>
            <color indexed="17"/>
            <rFont val="B Esfehan"/>
            <charset val="178"/>
          </rPr>
          <t>راس</t>
        </r>
      </text>
    </comment>
    <comment ref="B17" authorId="1" shapeId="0">
      <text>
        <r>
          <rPr>
            <b/>
            <i/>
            <sz val="12"/>
            <color indexed="17"/>
            <rFont val="B Esfehan"/>
            <charset val="178"/>
          </rPr>
          <t>راس</t>
        </r>
      </text>
    </comment>
    <comment ref="B18" authorId="1" shapeId="0">
      <text>
        <r>
          <rPr>
            <b/>
            <i/>
            <sz val="12"/>
            <color indexed="17"/>
            <rFont val="B Esfehan"/>
            <charset val="178"/>
          </rPr>
          <t>راس</t>
        </r>
      </text>
    </comment>
    <comment ref="B19" authorId="1" shapeId="0">
      <text>
        <r>
          <rPr>
            <b/>
            <i/>
            <sz val="12"/>
            <color indexed="17"/>
            <rFont val="B Esfehan"/>
            <charset val="178"/>
          </rPr>
          <t>راس</t>
        </r>
      </text>
    </comment>
    <comment ref="B20" authorId="1" shapeId="0">
      <text>
        <r>
          <rPr>
            <b/>
            <i/>
            <sz val="12"/>
            <color indexed="17"/>
            <rFont val="B Esfehan"/>
            <charset val="178"/>
          </rPr>
          <t>راس</t>
        </r>
      </text>
    </comment>
    <comment ref="B21" authorId="1" shapeId="0">
      <text>
        <r>
          <rPr>
            <b/>
            <i/>
            <sz val="12"/>
            <color indexed="17"/>
            <rFont val="B Esfehan"/>
            <charset val="178"/>
          </rPr>
          <t>راس</t>
        </r>
      </text>
    </comment>
    <comment ref="B22" authorId="1" shapeId="0">
      <text>
        <r>
          <rPr>
            <b/>
            <i/>
            <sz val="12"/>
            <color indexed="17"/>
            <rFont val="B Esfehan"/>
            <charset val="178"/>
          </rPr>
          <t>راس</t>
        </r>
      </text>
    </comment>
    <comment ref="B23" authorId="1" shapeId="0">
      <text>
        <r>
          <rPr>
            <b/>
            <i/>
            <sz val="12"/>
            <color indexed="17"/>
            <rFont val="B Esfehan"/>
            <charset val="178"/>
          </rPr>
          <t>راس</t>
        </r>
      </text>
    </comment>
    <comment ref="B24" authorId="1" shapeId="0">
      <text>
        <r>
          <rPr>
            <b/>
            <i/>
            <sz val="12"/>
            <color indexed="17"/>
            <rFont val="B Esfehan"/>
            <charset val="178"/>
          </rPr>
          <t>راس</t>
        </r>
      </text>
    </comment>
    <comment ref="B25" authorId="1" shapeId="0">
      <text>
        <r>
          <rPr>
            <b/>
            <i/>
            <sz val="12"/>
            <color indexed="17"/>
            <rFont val="B Esfehan"/>
            <charset val="178"/>
          </rPr>
          <t>راس</t>
        </r>
      </text>
    </comment>
    <comment ref="B26" authorId="1" shapeId="0">
      <text>
        <r>
          <rPr>
            <b/>
            <i/>
            <sz val="12"/>
            <color indexed="17"/>
            <rFont val="B Esfehan"/>
            <charset val="178"/>
          </rPr>
          <t>راس</t>
        </r>
      </text>
    </comment>
    <comment ref="B27" authorId="1" shapeId="0">
      <text>
        <r>
          <rPr>
            <b/>
            <i/>
            <sz val="12"/>
            <color indexed="17"/>
            <rFont val="B Esfehan"/>
            <charset val="178"/>
          </rPr>
          <t>راس</t>
        </r>
      </text>
    </comment>
    <comment ref="B28" authorId="1" shapeId="0">
      <text>
        <r>
          <rPr>
            <b/>
            <i/>
            <sz val="12"/>
            <color indexed="17"/>
            <rFont val="B Esfehan"/>
            <charset val="178"/>
          </rPr>
          <t>راس</t>
        </r>
      </text>
    </comment>
    <comment ref="B29" authorId="1" shapeId="0">
      <text>
        <r>
          <rPr>
            <b/>
            <i/>
            <sz val="12"/>
            <color indexed="17"/>
            <rFont val="B Esfehan"/>
            <charset val="178"/>
          </rPr>
          <t>راس</t>
        </r>
      </text>
    </comment>
    <comment ref="B30" authorId="1" shapeId="0">
      <text>
        <r>
          <rPr>
            <b/>
            <i/>
            <sz val="12"/>
            <color indexed="17"/>
            <rFont val="B Esfehan"/>
            <charset val="178"/>
          </rPr>
          <t xml:space="preserve">چند هزار دز در استان برای واکسیناسیون دام در این عملیات توزیع و مصرف شده است </t>
        </r>
      </text>
    </comment>
    <comment ref="B31" authorId="1" shapeId="0">
      <text>
        <r>
          <rPr>
            <b/>
            <i/>
            <sz val="12"/>
            <color indexed="17"/>
            <rFont val="B Esfehan"/>
            <charset val="178"/>
          </rPr>
          <t>راس</t>
        </r>
      </text>
    </comment>
    <comment ref="B32" authorId="1" shapeId="0">
      <text>
        <r>
          <rPr>
            <b/>
            <i/>
            <sz val="12"/>
            <color indexed="17"/>
            <rFont val="B Esfehan"/>
            <charset val="178"/>
          </rPr>
          <t>راس</t>
        </r>
      </text>
    </comment>
    <comment ref="B33" authorId="1" shapeId="0">
      <text>
        <r>
          <rPr>
            <b/>
            <i/>
            <sz val="12"/>
            <color indexed="17"/>
            <rFont val="B Esfehan"/>
            <charset val="178"/>
          </rPr>
          <t>راس</t>
        </r>
      </text>
    </comment>
    <comment ref="B34" authorId="1" shapeId="0">
      <text>
        <r>
          <rPr>
            <b/>
            <i/>
            <sz val="12"/>
            <color indexed="17"/>
            <rFont val="B Esfehan"/>
            <charset val="178"/>
          </rPr>
          <t>تعداد بازدید از دامداری، گله یا روستا جهت
 ارزیابی عملیات خوراندن داروی ضد انگل</t>
        </r>
      </text>
    </comment>
    <comment ref="B35" authorId="1" shapeId="0">
      <text>
        <r>
          <rPr>
            <b/>
            <i/>
            <sz val="12"/>
            <color indexed="17"/>
            <rFont val="B Esfehan"/>
            <charset val="178"/>
          </rPr>
          <t>راس</t>
        </r>
      </text>
    </comment>
    <comment ref="B36" authorId="1" shapeId="0">
      <text>
        <r>
          <rPr>
            <b/>
            <i/>
            <sz val="12"/>
            <color indexed="17"/>
            <rFont val="B Esfehan"/>
            <charset val="178"/>
          </rPr>
          <t xml:space="preserve">چند لیتر داروی ضد انگلی در استان برای این عملیات توزیع و مصرف شده است </t>
        </r>
      </text>
    </comment>
    <comment ref="B37" authorId="1" shapeId="0">
      <text>
        <r>
          <rPr>
            <b/>
            <i/>
            <sz val="12"/>
            <color indexed="17"/>
            <rFont val="B Esfehan"/>
            <charset val="178"/>
          </rPr>
          <t>راس</t>
        </r>
      </text>
    </comment>
    <comment ref="B38" authorId="1" shapeId="0">
      <text>
        <r>
          <rPr>
            <b/>
            <i/>
            <sz val="12"/>
            <color indexed="17"/>
            <rFont val="B Esfehan"/>
            <charset val="178"/>
          </rPr>
          <t>راس</t>
        </r>
      </text>
    </comment>
    <comment ref="B39" authorId="1" shapeId="0">
      <text>
        <r>
          <rPr>
            <b/>
            <i/>
            <sz val="12"/>
            <color indexed="17"/>
            <rFont val="B Esfehan"/>
            <charset val="178"/>
          </rPr>
          <t>راس</t>
        </r>
      </text>
    </comment>
    <comment ref="B40" authorId="1" shapeId="0">
      <text>
        <r>
          <rPr>
            <b/>
            <i/>
            <sz val="12"/>
            <color indexed="17"/>
            <rFont val="B Esfehan"/>
            <charset val="178"/>
          </rPr>
          <t>تعداد بازدید از دامداری، گله یا روستا جهت
 ارزیابی عملیات سمپاشی دام</t>
        </r>
      </text>
    </comment>
    <comment ref="B41" authorId="1" shapeId="0">
      <text>
        <r>
          <rPr>
            <b/>
            <i/>
            <sz val="12"/>
            <color indexed="17"/>
            <rFont val="B Esfehan"/>
            <charset val="178"/>
          </rPr>
          <t xml:space="preserve">چند لیتر سم در استان برای این عملیات توزیع و مصرف شده است </t>
        </r>
      </text>
    </comment>
    <comment ref="B42" authorId="1" shapeId="0">
      <text>
        <r>
          <rPr>
            <b/>
            <i/>
            <sz val="12"/>
            <color indexed="17"/>
            <rFont val="B Esfehan"/>
            <charset val="178"/>
          </rPr>
          <t>متر مربع</t>
        </r>
      </text>
    </comment>
    <comment ref="B43" authorId="1" shapeId="0">
      <text>
        <r>
          <rPr>
            <b/>
            <i/>
            <sz val="12"/>
            <color indexed="17"/>
            <rFont val="B Esfehan"/>
            <charset val="178"/>
          </rPr>
          <t>تعداد بازدید از دامداری، گله یا روستا جهت
 ارزیابی عملیات سمپاشی جایگاه</t>
        </r>
      </text>
    </comment>
    <comment ref="B44" authorId="1" shapeId="0">
      <text>
        <r>
          <rPr>
            <b/>
            <i/>
            <sz val="12"/>
            <color indexed="17"/>
            <rFont val="B Esfehan"/>
            <charset val="178"/>
          </rPr>
          <t>تناژ نهاده های معدوم شده</t>
        </r>
      </text>
    </comment>
    <comment ref="B45" authorId="1" shapeId="0">
      <text>
        <r>
          <rPr>
            <b/>
            <i/>
            <sz val="12"/>
            <color indexed="17"/>
            <rFont val="B Esfehan"/>
            <charset val="178"/>
          </rPr>
          <t>کانون</t>
        </r>
      </text>
    </comment>
    <comment ref="B46" authorId="1" shapeId="0">
      <text>
        <r>
          <rPr>
            <b/>
            <i/>
            <sz val="12"/>
            <color indexed="17"/>
            <rFont val="B Esfehan"/>
            <charset val="178"/>
          </rPr>
          <t>در صورت استقرار قرنطینه سیار (خودرو) در راه های مواصلاتی (چند شیفت)</t>
        </r>
      </text>
    </comment>
    <comment ref="B47" authorId="1" shapeId="0">
      <text>
        <r>
          <rPr>
            <b/>
            <i/>
            <sz val="12"/>
            <color indexed="17"/>
            <rFont val="B Esfehan"/>
            <charset val="178"/>
          </rPr>
          <t>در صورت استقرار نیرو جهت قرنطینه در واحد آلوده (چند شبانه روز)</t>
        </r>
      </text>
    </comment>
    <comment ref="B48" authorId="1" shapeId="0">
      <text>
        <r>
          <rPr>
            <b/>
            <i/>
            <sz val="12"/>
            <color indexed="17"/>
            <rFont val="B Esfehan"/>
            <charset val="178"/>
          </rPr>
          <t>تعداد بازدید از سايت هاي ضدعفوني خودروهاي حمل جهت ارزیابی عملیات ضدعفونی</t>
        </r>
      </text>
    </comment>
    <comment ref="B49" authorId="1" shapeId="0">
      <text>
        <r>
          <rPr>
            <b/>
            <i/>
            <sz val="12"/>
            <color indexed="17"/>
            <rFont val="B Esfehan"/>
            <charset val="178"/>
          </rPr>
          <t>تعداد بازدید از پست قرنطينه جهت ارزیابی عملکرد پست قرنطینه</t>
        </r>
      </text>
    </comment>
    <comment ref="B50" authorId="1" shapeId="0">
      <text>
        <r>
          <rPr>
            <b/>
            <i/>
            <sz val="12"/>
            <color indexed="17"/>
            <rFont val="B Esfehan"/>
            <charset val="178"/>
          </rPr>
          <t>تعداد کانون آلوده</t>
        </r>
      </text>
    </comment>
    <comment ref="B51" authorId="1" shapeId="0">
      <text>
        <r>
          <rPr>
            <b/>
            <i/>
            <sz val="12"/>
            <color indexed="17"/>
            <rFont val="B Esfehan"/>
            <charset val="178"/>
          </rPr>
          <t>تعداد کانون آلوده</t>
        </r>
      </text>
    </comment>
    <comment ref="B52" authorId="1" shapeId="0">
      <text>
        <r>
          <rPr>
            <b/>
            <i/>
            <sz val="12"/>
            <color indexed="17"/>
            <rFont val="B Esfehan"/>
            <charset val="178"/>
          </rPr>
          <t xml:space="preserve">چند لیتر مواد ضدعفونی  در استان برای این عملیات توزیع و مصرف شده است </t>
        </r>
      </text>
    </comment>
    <comment ref="B53" authorId="1" shapeId="0">
      <text>
        <r>
          <rPr>
            <b/>
            <i/>
            <sz val="12"/>
            <color indexed="17"/>
            <rFont val="B Esfehan"/>
            <charset val="178"/>
          </rPr>
          <t>متر مربع</t>
        </r>
      </text>
    </comment>
    <comment ref="B54" authorId="1" shapeId="0">
      <text>
        <r>
          <rPr>
            <b/>
            <i/>
            <sz val="12"/>
            <color indexed="17"/>
            <rFont val="B Esfehan"/>
            <charset val="178"/>
          </rPr>
          <t>تناژ نهاده های ضدعفونی شده</t>
        </r>
      </text>
    </comment>
    <comment ref="B55" authorId="1" shapeId="0">
      <text>
        <r>
          <rPr>
            <b/>
            <i/>
            <sz val="12"/>
            <color indexed="17"/>
            <rFont val="B Esfehan"/>
            <charset val="178"/>
          </rPr>
          <t>چند دستگاه</t>
        </r>
      </text>
    </comment>
    <comment ref="B56" authorId="1" shapeId="0">
      <text>
        <r>
          <rPr>
            <b/>
            <i/>
            <sz val="12"/>
            <color indexed="17"/>
            <rFont val="B Esfehan"/>
            <charset val="178"/>
          </rPr>
          <t>چند دستگاه</t>
        </r>
      </text>
    </comment>
    <comment ref="B57" authorId="1" shapeId="0">
      <text>
        <r>
          <rPr>
            <b/>
            <i/>
            <sz val="12"/>
            <color indexed="17"/>
            <rFont val="B Esfehan"/>
            <charset val="178"/>
          </rPr>
          <t>تعداد بازدید از کانون بیماری جهت ارزیابی عمليات ضد عفونی كانون بیماری</t>
        </r>
      </text>
    </comment>
    <comment ref="B58" authorId="1" shapeId="0">
      <text>
        <r>
          <rPr>
            <b/>
            <i/>
            <sz val="12"/>
            <color indexed="17"/>
            <rFont val="B Esfehan"/>
            <charset val="178"/>
          </rPr>
          <t xml:space="preserve">تعداد اعزام اکیپ جهت بررسی های اپیدمیولوژیک </t>
        </r>
      </text>
    </comment>
    <comment ref="B59" authorId="1" shapeId="0">
      <text>
        <r>
          <rPr>
            <b/>
            <i/>
            <sz val="12"/>
            <color indexed="17"/>
            <rFont val="B Esfehan"/>
            <charset val="178"/>
          </rPr>
          <t>تعداد بازدید نمونه برداری</t>
        </r>
      </text>
    </comment>
    <comment ref="B60" authorId="1" shapeId="0">
      <text>
        <r>
          <rPr>
            <b/>
            <i/>
            <sz val="12"/>
            <color indexed="17"/>
            <rFont val="B Esfehan"/>
            <charset val="178"/>
          </rPr>
          <t>تعداد نمونه های سرمی اخذ شده و تحویل داده شده جهت بررسی های آزمایشگاهی
(بعبارتی نمونه های گرفته شده توسط اکیپ جهت آزمایش)</t>
        </r>
      </text>
    </comment>
    <comment ref="B61" authorId="1" shapeId="0">
      <text>
        <r>
          <rPr>
            <b/>
            <i/>
            <sz val="12"/>
            <color indexed="17"/>
            <rFont val="B Esfehan"/>
            <charset val="178"/>
          </rPr>
          <t>تعداد نمونه های بافتی اخذ شده و تحویل داده شده جهت بررسی های آزمایشگاهی
(بعبارتی نمونه های گرفته شده توسط اکیپ جهت آزمایش)</t>
        </r>
      </text>
    </comment>
    <comment ref="B62" authorId="1" shapeId="0">
      <text>
        <r>
          <rPr>
            <b/>
            <i/>
            <sz val="12"/>
            <color indexed="17"/>
            <rFont val="B Esfehan"/>
            <charset val="178"/>
          </rPr>
          <t>تعداد نمونه های "نهاده" اخذ شده و تحویل داده شده جهت بررسی های آزمایشگاهی
(بعبارتی نمونه های گرفته شده توسط اکیپ جهت آزمایش)</t>
        </r>
      </text>
    </comment>
    <comment ref="B63" authorId="1" shapeId="0">
      <text>
        <r>
          <rPr>
            <b/>
            <i/>
            <sz val="12"/>
            <color indexed="17"/>
            <rFont val="B Esfehan"/>
            <charset val="178"/>
          </rPr>
          <t>تعداد بازدید از دامداری، گله یا روستا جهت
 ارزیابی عملیات واکسیناسیون</t>
        </r>
      </text>
    </comment>
    <comment ref="B64" authorId="1" shapeId="0">
      <text>
        <r>
          <rPr>
            <b/>
            <i/>
            <sz val="12"/>
            <color indexed="17"/>
            <rFont val="B Esfehan"/>
            <charset val="178"/>
          </rPr>
          <t>تعداد بازدید کارشناسی در خصوص امور بیمه</t>
        </r>
      </text>
    </comment>
    <comment ref="A65" authorId="1" shapeId="0">
      <text>
        <r>
          <rPr>
            <b/>
            <i/>
            <sz val="12"/>
            <color indexed="17"/>
            <rFont val="B Esfehan"/>
            <charset val="178"/>
          </rPr>
          <t xml:space="preserve">از آنجایی که فعالیت ها در یک عملیات از نظر نوع، زمانبری، تعداد و مهارت کارکنان ، حجم آن فعالیت و ... متفاوت می باشند لاجرم نیاز به همسان سازی فعالیت ها و محاسبه ارزش وزنی واحد برای آن ها هستیم که به آن کمیت سنجه عملکرد همسان شده می گویند و عنوان سنجه عملکرد آن معمولاً واحد فعالیتی است که از ارزش وزنی بالاتری برخوردار است یا بهترین معرف برای عملیات است و شاخص سنجه عماکرد نیز ارزش وزنی واحد آن فعالیت می باشد.    </t>
        </r>
      </text>
    </comment>
  </commentList>
</comments>
</file>

<file path=xl/comments11.xml><?xml version="1.0" encoding="utf-8"?>
<comments xmlns="http://schemas.openxmlformats.org/spreadsheetml/2006/main">
  <authors>
    <author>Ali Akbar Faraji</author>
  </authors>
  <commentList>
    <comment ref="C2" authorId="0" shapeId="0">
      <text>
        <r>
          <rPr>
            <b/>
            <i/>
            <sz val="12"/>
            <color indexed="17"/>
            <rFont val="B Esfehan"/>
            <charset val="178"/>
          </rPr>
          <t>بروز بیماری: صرفآ در دوره زمانی ارزیابی تعداد موارد جدید کانون های بیماری که تشخیص داده شده را ذکر نمائید.</t>
        </r>
      </text>
    </comment>
  </commentList>
</comments>
</file>

<file path=xl/comments12.xml><?xml version="1.0" encoding="utf-8"?>
<comments xmlns="http://schemas.openxmlformats.org/spreadsheetml/2006/main">
  <authors>
    <author>Dr faraji</author>
    <author>Ali Akbar Faraji</author>
  </authors>
  <commentList>
    <comment ref="B2" authorId="0" shapeId="0">
      <text>
        <r>
          <rPr>
            <b/>
            <sz val="12"/>
            <color indexed="17"/>
            <rFont val="B Esfehan"/>
            <charset val="178"/>
          </rPr>
          <t xml:space="preserve">لطفاً فقط ستون حجم عمليات بخش دولتی را در صورتي كه استان واجد عمليات مرتبط با هدف  (پایش و کنترل سموم، فلزات سنگین، باقیمانده های دارویی و آفلاتوکسین) در قالب پروتکل ملی مي باشد تكميل نماييد. </t>
        </r>
      </text>
    </comment>
    <comment ref="B4" authorId="1" shapeId="0">
      <text>
        <r>
          <rPr>
            <b/>
            <i/>
            <sz val="12"/>
            <color indexed="17"/>
            <rFont val="B Esfehan"/>
            <charset val="178"/>
          </rPr>
          <t xml:space="preserve">تعداد بازدید نمونه برداری </t>
        </r>
      </text>
    </comment>
    <comment ref="B5" authorId="1" shapeId="0">
      <text>
        <r>
          <rPr>
            <b/>
            <i/>
            <sz val="12"/>
            <color indexed="17"/>
            <rFont val="B Esfehan"/>
            <charset val="178"/>
          </rPr>
          <t xml:space="preserve">تعداد بازدید نمونه برداری </t>
        </r>
      </text>
    </comment>
    <comment ref="B6" authorId="1" shapeId="0">
      <text>
        <r>
          <rPr>
            <b/>
            <i/>
            <sz val="12"/>
            <color indexed="17"/>
            <rFont val="B Esfehan"/>
            <charset val="178"/>
          </rPr>
          <t xml:space="preserve">تعداد بازدید نمونه برداری </t>
        </r>
      </text>
    </comment>
    <comment ref="B7" authorId="1" shapeId="0">
      <text>
        <r>
          <rPr>
            <b/>
            <i/>
            <sz val="12"/>
            <color indexed="17"/>
            <rFont val="B Esfehan"/>
            <charset val="178"/>
          </rPr>
          <t xml:space="preserve">تعداد بازدید نمونه برداری </t>
        </r>
      </text>
    </comment>
    <comment ref="B8" authorId="1" shapeId="0">
      <text>
        <r>
          <rPr>
            <b/>
            <i/>
            <sz val="12"/>
            <color indexed="17"/>
            <rFont val="B Esfehan"/>
            <charset val="178"/>
          </rPr>
          <t xml:space="preserve">تعداد بازدید نمونه برداری </t>
        </r>
      </text>
    </comment>
    <comment ref="B9" authorId="1" shapeId="0">
      <text>
        <r>
          <rPr>
            <b/>
            <i/>
            <sz val="12"/>
            <color indexed="17"/>
            <rFont val="B Esfehan"/>
            <charset val="178"/>
          </rPr>
          <t xml:space="preserve">تعداد بازدید نمونه برداری </t>
        </r>
      </text>
    </comment>
    <comment ref="B10" authorId="1" shapeId="0">
      <text>
        <r>
          <rPr>
            <b/>
            <i/>
            <sz val="12"/>
            <color indexed="17"/>
            <rFont val="B Esfehan"/>
            <charset val="178"/>
          </rPr>
          <t xml:space="preserve">تعداد بازدید نمونه برداری </t>
        </r>
      </text>
    </comment>
    <comment ref="B11" authorId="1" shapeId="0">
      <text>
        <r>
          <rPr>
            <b/>
            <i/>
            <sz val="12"/>
            <color indexed="17"/>
            <rFont val="B Esfehan"/>
            <charset val="178"/>
          </rPr>
          <t xml:space="preserve">تعداد بازدید نمونه برداری </t>
        </r>
      </text>
    </comment>
    <comment ref="B12" authorId="1" shapeId="0">
      <text>
        <r>
          <rPr>
            <b/>
            <i/>
            <sz val="12"/>
            <color indexed="17"/>
            <rFont val="B Esfehan"/>
            <charset val="178"/>
          </rPr>
          <t xml:space="preserve">تعداد بازدید نمونه برداری </t>
        </r>
      </text>
    </comment>
    <comment ref="B13" authorId="1" shapeId="0">
      <text>
        <r>
          <rPr>
            <b/>
            <i/>
            <sz val="12"/>
            <color indexed="17"/>
            <rFont val="B Esfehan"/>
            <charset val="178"/>
          </rPr>
          <t xml:space="preserve">تعداد بازدید نمونه برداری </t>
        </r>
      </text>
    </comment>
    <comment ref="B14" authorId="1" shapeId="0">
      <text>
        <r>
          <rPr>
            <b/>
            <i/>
            <sz val="12"/>
            <color indexed="17"/>
            <rFont val="B Esfehan"/>
            <charset val="178"/>
          </rPr>
          <t xml:space="preserve">تعداد بازدید نمونه برداری </t>
        </r>
      </text>
    </comment>
    <comment ref="B15" authorId="1" shapeId="0">
      <text>
        <r>
          <rPr>
            <b/>
            <i/>
            <sz val="12"/>
            <color indexed="17"/>
            <rFont val="B Esfehan"/>
            <charset val="178"/>
          </rPr>
          <t xml:space="preserve">تعداد بازدید نمونه برداری </t>
        </r>
      </text>
    </comment>
    <comment ref="B16" authorId="1" shapeId="0">
      <text>
        <r>
          <rPr>
            <b/>
            <i/>
            <sz val="12"/>
            <color indexed="17"/>
            <rFont val="B Esfehan"/>
            <charset val="178"/>
          </rPr>
          <t xml:space="preserve">تعداد بازدید نمونه برداری </t>
        </r>
      </text>
    </comment>
    <comment ref="B17" authorId="1" shapeId="0">
      <text>
        <r>
          <rPr>
            <b/>
            <i/>
            <sz val="12"/>
            <color indexed="17"/>
            <rFont val="B Esfehan"/>
            <charset val="178"/>
          </rPr>
          <t xml:space="preserve">تعداد بازدید نمونه برداری </t>
        </r>
      </text>
    </comment>
    <comment ref="B18" authorId="1" shapeId="0">
      <text>
        <r>
          <rPr>
            <b/>
            <i/>
            <sz val="12"/>
            <color indexed="17"/>
            <rFont val="B Esfehan"/>
            <charset val="178"/>
          </rPr>
          <t xml:space="preserve">تعداد بازدید نمونه برداری </t>
        </r>
      </text>
    </comment>
    <comment ref="B19" authorId="1" shapeId="0">
      <text>
        <r>
          <rPr>
            <b/>
            <i/>
            <sz val="12"/>
            <color indexed="17"/>
            <rFont val="B Esfehan"/>
            <charset val="178"/>
          </rPr>
          <t xml:space="preserve">تعداد بازدید نمونه برداری </t>
        </r>
      </text>
    </comment>
    <comment ref="B20" authorId="1" shapeId="0">
      <text>
        <r>
          <rPr>
            <b/>
            <i/>
            <sz val="12"/>
            <color indexed="17"/>
            <rFont val="B Esfehan"/>
            <charset val="178"/>
          </rPr>
          <t>تعداد نمونه های بافتی اخذ شده و تحویل داده شده جهت بررسی های آزمایشگاهی
(بعبارتی نمونه های گرفته شده توسط اکیپ جهت آزمایش)</t>
        </r>
      </text>
    </comment>
    <comment ref="B21" authorId="1" shapeId="0">
      <text>
        <r>
          <rPr>
            <b/>
            <i/>
            <sz val="12"/>
            <color indexed="17"/>
            <rFont val="B Esfehan"/>
            <charset val="178"/>
          </rPr>
          <t>تعداد نمونه های "نهاده" اخذ شده و تحویل داده شده جهت بررسی های آزمایشگاهی
(بعبارتی نمونه های گرفته شده توسط اکیپ جهت آزمایش)</t>
        </r>
      </text>
    </comment>
    <comment ref="B22" authorId="1" shapeId="0">
      <text>
        <r>
          <rPr>
            <b/>
            <i/>
            <sz val="12"/>
            <color indexed="17"/>
            <rFont val="B Esfehan"/>
            <charset val="178"/>
          </rPr>
          <t xml:space="preserve">تعداد بازدید نمونه برداری </t>
        </r>
      </text>
    </comment>
    <comment ref="B23" authorId="1" shapeId="0">
      <text>
        <r>
          <rPr>
            <b/>
            <i/>
            <sz val="12"/>
            <color indexed="17"/>
            <rFont val="B Esfehan"/>
            <charset val="178"/>
          </rPr>
          <t xml:space="preserve">تعداد بازدید نمونه برداری </t>
        </r>
      </text>
    </comment>
    <comment ref="A24" authorId="1" shapeId="0">
      <text>
        <r>
          <rPr>
            <b/>
            <i/>
            <sz val="12"/>
            <color indexed="17"/>
            <rFont val="B Esfehan"/>
            <charset val="178"/>
          </rPr>
          <t xml:space="preserve">از آنجایی که فعالیت ها در یک عملیات از نظر نوع، زمانبری، تعداد و مهارت کارکنان ، حجم آن فعالیت و ... متفاوت می باشند لاجرم نیاز به همسان سازی فعالیت ها و محاسبه ارزش وزنی واحد برای آن ها هستیم که به آن کمیت سنجه عملکرد همسان شده می گویند و عنوان سنجه عملکرد آن معمولاً واحد فعالیتی است که از ارزش وزنی بالاتری برخوردار است یا بهترین معرف برای عملیات است و شاخص سنجه عماکرد نیز ارزش وزنی واحد آن فعالیت می باشد.    </t>
        </r>
      </text>
    </comment>
  </commentList>
</comments>
</file>

<file path=xl/comments13.xml><?xml version="1.0" encoding="utf-8"?>
<comments xmlns="http://schemas.openxmlformats.org/spreadsheetml/2006/main">
  <authors>
    <author>Dr faraji</author>
    <author>Ali Akbar Faraji</author>
  </authors>
  <commentList>
    <comment ref="B2" authorId="0" shapeId="0">
      <text>
        <r>
          <rPr>
            <b/>
            <sz val="12"/>
            <color indexed="17"/>
            <rFont val="B Esfehan"/>
            <charset val="178"/>
          </rPr>
          <t>لطفاً فقط ستون حجم عمليات استان و حجم نمونه های ارسالی به مرکز تشخیص سازمان را در صورتي كه استان واجد عمليات مي باشد تكميل نماييد.</t>
        </r>
      </text>
    </comment>
    <comment ref="B4" authorId="1" shapeId="0">
      <text>
        <r>
          <rPr>
            <b/>
            <i/>
            <sz val="12"/>
            <color indexed="17"/>
            <rFont val="B Esfehan"/>
            <charset val="178"/>
          </rPr>
          <t xml:space="preserve">تعداد  </t>
        </r>
      </text>
    </comment>
    <comment ref="B5" authorId="1" shapeId="0">
      <text>
        <r>
          <rPr>
            <b/>
            <i/>
            <sz val="12"/>
            <color indexed="17"/>
            <rFont val="B Esfehan"/>
            <charset val="178"/>
          </rPr>
          <t xml:space="preserve">تعداد  </t>
        </r>
      </text>
    </comment>
    <comment ref="B6" authorId="1" shapeId="0">
      <text>
        <r>
          <rPr>
            <b/>
            <i/>
            <sz val="12"/>
            <color indexed="17"/>
            <rFont val="B Esfehan"/>
            <charset val="178"/>
          </rPr>
          <t xml:space="preserve">تعداد  </t>
        </r>
      </text>
    </comment>
    <comment ref="B7" authorId="1" shapeId="0">
      <text>
        <r>
          <rPr>
            <b/>
            <i/>
            <sz val="12"/>
            <color indexed="17"/>
            <rFont val="B Esfehan"/>
            <charset val="178"/>
          </rPr>
          <t xml:space="preserve">تعداد  </t>
        </r>
      </text>
    </comment>
    <comment ref="B8" authorId="1" shapeId="0">
      <text>
        <r>
          <rPr>
            <b/>
            <i/>
            <sz val="12"/>
            <color indexed="17"/>
            <rFont val="B Esfehan"/>
            <charset val="178"/>
          </rPr>
          <t xml:space="preserve">تعداد  </t>
        </r>
      </text>
    </comment>
    <comment ref="B9" authorId="1" shapeId="0">
      <text>
        <r>
          <rPr>
            <b/>
            <i/>
            <sz val="12"/>
            <color indexed="17"/>
            <rFont val="B Esfehan"/>
            <charset val="178"/>
          </rPr>
          <t xml:space="preserve">تعداد  </t>
        </r>
      </text>
    </comment>
    <comment ref="B10" authorId="1" shapeId="0">
      <text>
        <r>
          <rPr>
            <b/>
            <i/>
            <sz val="12"/>
            <color indexed="17"/>
            <rFont val="B Esfehan"/>
            <charset val="178"/>
          </rPr>
          <t xml:space="preserve">تعداد  </t>
        </r>
      </text>
    </comment>
    <comment ref="B11" authorId="1" shapeId="0">
      <text>
        <r>
          <rPr>
            <b/>
            <i/>
            <sz val="12"/>
            <color indexed="17"/>
            <rFont val="B Esfehan"/>
            <charset val="178"/>
          </rPr>
          <t xml:space="preserve">تعداد  </t>
        </r>
      </text>
    </comment>
    <comment ref="B12" authorId="1" shapeId="0">
      <text>
        <r>
          <rPr>
            <b/>
            <i/>
            <sz val="12"/>
            <color indexed="17"/>
            <rFont val="B Esfehan"/>
            <charset val="178"/>
          </rPr>
          <t xml:space="preserve">تعداد  </t>
        </r>
      </text>
    </comment>
    <comment ref="B13" authorId="1" shapeId="0">
      <text>
        <r>
          <rPr>
            <b/>
            <i/>
            <sz val="12"/>
            <color indexed="17"/>
            <rFont val="B Esfehan"/>
            <charset val="178"/>
          </rPr>
          <t xml:space="preserve">تعداد  </t>
        </r>
      </text>
    </comment>
    <comment ref="B14" authorId="1" shapeId="0">
      <text>
        <r>
          <rPr>
            <b/>
            <i/>
            <sz val="12"/>
            <color indexed="17"/>
            <rFont val="B Esfehan"/>
            <charset val="178"/>
          </rPr>
          <t xml:space="preserve">تعداد  </t>
        </r>
      </text>
    </comment>
    <comment ref="B15" authorId="1" shapeId="0">
      <text>
        <r>
          <rPr>
            <b/>
            <i/>
            <sz val="12"/>
            <color indexed="17"/>
            <rFont val="B Esfehan"/>
            <charset val="178"/>
          </rPr>
          <t xml:space="preserve">تعداد  </t>
        </r>
      </text>
    </comment>
    <comment ref="B16" authorId="1" shapeId="0">
      <text>
        <r>
          <rPr>
            <b/>
            <i/>
            <sz val="12"/>
            <color indexed="17"/>
            <rFont val="B Esfehan"/>
            <charset val="178"/>
          </rPr>
          <t xml:space="preserve">تعداد  </t>
        </r>
      </text>
    </comment>
    <comment ref="B17" authorId="1" shapeId="0">
      <text>
        <r>
          <rPr>
            <b/>
            <i/>
            <sz val="12"/>
            <color indexed="17"/>
            <rFont val="B Esfehan"/>
            <charset val="178"/>
          </rPr>
          <t xml:space="preserve">تعداد  </t>
        </r>
      </text>
    </comment>
    <comment ref="B18" authorId="1" shapeId="0">
      <text>
        <r>
          <rPr>
            <b/>
            <i/>
            <sz val="12"/>
            <color indexed="17"/>
            <rFont val="B Esfehan"/>
            <charset val="178"/>
          </rPr>
          <t xml:space="preserve">تعداد  </t>
        </r>
      </text>
    </comment>
    <comment ref="B19" authorId="1" shapeId="0">
      <text>
        <r>
          <rPr>
            <b/>
            <i/>
            <sz val="12"/>
            <color indexed="17"/>
            <rFont val="B Esfehan"/>
            <charset val="178"/>
          </rPr>
          <t xml:space="preserve">تعداد  </t>
        </r>
      </text>
    </comment>
    <comment ref="B20" authorId="1" shapeId="0">
      <text>
        <r>
          <rPr>
            <b/>
            <i/>
            <sz val="12"/>
            <color indexed="17"/>
            <rFont val="B Esfehan"/>
            <charset val="178"/>
          </rPr>
          <t xml:space="preserve">تعداد  </t>
        </r>
      </text>
    </comment>
    <comment ref="B21" authorId="1" shapeId="0">
      <text>
        <r>
          <rPr>
            <b/>
            <i/>
            <sz val="12"/>
            <color indexed="17"/>
            <rFont val="B Esfehan"/>
            <charset val="178"/>
          </rPr>
          <t xml:space="preserve">تعداد  </t>
        </r>
      </text>
    </comment>
    <comment ref="B22" authorId="1" shapeId="0">
      <text>
        <r>
          <rPr>
            <b/>
            <i/>
            <sz val="12"/>
            <color indexed="17"/>
            <rFont val="B Esfehan"/>
            <charset val="178"/>
          </rPr>
          <t xml:space="preserve">تعداد  </t>
        </r>
      </text>
    </comment>
    <comment ref="B23" authorId="1" shapeId="0">
      <text>
        <r>
          <rPr>
            <b/>
            <i/>
            <sz val="12"/>
            <color indexed="17"/>
            <rFont val="B Esfehan"/>
            <charset val="178"/>
          </rPr>
          <t xml:space="preserve">تعداد  </t>
        </r>
      </text>
    </comment>
    <comment ref="B24" authorId="1" shapeId="0">
      <text>
        <r>
          <rPr>
            <b/>
            <i/>
            <sz val="12"/>
            <color indexed="17"/>
            <rFont val="B Esfehan"/>
            <charset val="178"/>
          </rPr>
          <t xml:space="preserve">تعداد  </t>
        </r>
      </text>
    </comment>
    <comment ref="B25" authorId="1" shapeId="0">
      <text>
        <r>
          <rPr>
            <b/>
            <i/>
            <sz val="12"/>
            <color indexed="17"/>
            <rFont val="B Esfehan"/>
            <charset val="178"/>
          </rPr>
          <t xml:space="preserve">تعداد  </t>
        </r>
      </text>
    </comment>
    <comment ref="B26" authorId="1" shapeId="0">
      <text>
        <r>
          <rPr>
            <b/>
            <i/>
            <sz val="12"/>
            <color indexed="17"/>
            <rFont val="B Esfehan"/>
            <charset val="178"/>
          </rPr>
          <t xml:space="preserve">تعداد  </t>
        </r>
      </text>
    </comment>
    <comment ref="B27" authorId="1" shapeId="0">
      <text>
        <r>
          <rPr>
            <b/>
            <i/>
            <sz val="12"/>
            <color indexed="17"/>
            <rFont val="B Esfehan"/>
            <charset val="178"/>
          </rPr>
          <t xml:space="preserve">تعداد  </t>
        </r>
      </text>
    </comment>
    <comment ref="B28" authorId="1" shapeId="0">
      <text>
        <r>
          <rPr>
            <b/>
            <i/>
            <sz val="12"/>
            <color indexed="17"/>
            <rFont val="B Esfehan"/>
            <charset val="178"/>
          </rPr>
          <t xml:space="preserve">تعداد  </t>
        </r>
      </text>
    </comment>
    <comment ref="B29" authorId="1" shapeId="0">
      <text>
        <r>
          <rPr>
            <b/>
            <i/>
            <sz val="12"/>
            <color indexed="17"/>
            <rFont val="B Esfehan"/>
            <charset val="178"/>
          </rPr>
          <t xml:space="preserve">تعداد  </t>
        </r>
      </text>
    </comment>
    <comment ref="B30" authorId="1" shapeId="0">
      <text>
        <r>
          <rPr>
            <b/>
            <i/>
            <sz val="12"/>
            <color indexed="17"/>
            <rFont val="B Esfehan"/>
            <charset val="178"/>
          </rPr>
          <t xml:space="preserve">تعداد  </t>
        </r>
      </text>
    </comment>
    <comment ref="B31" authorId="1" shapeId="0">
      <text>
        <r>
          <rPr>
            <b/>
            <i/>
            <sz val="12"/>
            <color indexed="17"/>
            <rFont val="B Esfehan"/>
            <charset val="178"/>
          </rPr>
          <t xml:space="preserve">تعداد  </t>
        </r>
      </text>
    </comment>
    <comment ref="B32" authorId="1" shapeId="0">
      <text>
        <r>
          <rPr>
            <b/>
            <i/>
            <sz val="12"/>
            <color indexed="17"/>
            <rFont val="B Esfehan"/>
            <charset val="178"/>
          </rPr>
          <t xml:space="preserve">تعداد تدوین یا همکاری در تدوین  </t>
        </r>
      </text>
    </comment>
    <comment ref="B33" authorId="1" shapeId="0">
      <text>
        <r>
          <rPr>
            <b/>
            <i/>
            <sz val="12"/>
            <color indexed="17"/>
            <rFont val="B Esfehan"/>
            <charset val="178"/>
          </rPr>
          <t xml:space="preserve">در چارچوب برنامه ملی  </t>
        </r>
      </text>
    </comment>
    <comment ref="A34" authorId="1" shapeId="0">
      <text>
        <r>
          <rPr>
            <b/>
            <i/>
            <sz val="12"/>
            <color indexed="17"/>
            <rFont val="B Esfehan"/>
            <charset val="178"/>
          </rPr>
          <t xml:space="preserve">از آنجایی که فعالیت ها در یک عملیات از نظر نوع، زمانبری، تعداد و مهارت کارکنان ، حجم آن فعالیت و ... متفاوت می باشند لاجرم نیاز به همسان سازی فعالیت ها و محاسبه ارزش وزنی واحد برای آن ها هستیم که به آن کمیت سنجه عملکرد همسان شده می گویند و عنوان سنجه عملکرد آن معمولاً واحد فعالیتی است که از ارزش وزنی بالاتری برخوردار است یا بهترین معرف برای عملیات است و شاخص سنجه عماکرد نیز ارزش وزنی واحد آن فعالیت می باشد.    </t>
        </r>
      </text>
    </comment>
  </commentList>
</comments>
</file>

<file path=xl/comments14.xml><?xml version="1.0" encoding="utf-8"?>
<comments xmlns="http://schemas.openxmlformats.org/spreadsheetml/2006/main">
  <authors>
    <author>Dr faraji</author>
    <author>Ali Akbar Faraji</author>
  </authors>
  <commentList>
    <comment ref="B2" authorId="0" shapeId="0">
      <text>
        <r>
          <rPr>
            <b/>
            <sz val="12"/>
            <color indexed="17"/>
            <rFont val="B Esfehan"/>
            <charset val="178"/>
          </rPr>
          <t>لطفاً فقط ستون حجم عمليات بخش دولتی و خصوصی را در صورتي كه استان واجد عمليات مي باشد تكميل نماييد.</t>
        </r>
      </text>
    </comment>
    <comment ref="B4" authorId="1" shapeId="0">
      <text>
        <r>
          <rPr>
            <b/>
            <i/>
            <sz val="12"/>
            <color indexed="17"/>
            <rFont val="B Esfehan"/>
            <charset val="178"/>
          </rPr>
          <t xml:space="preserve">تعداد گواهی </t>
        </r>
      </text>
    </comment>
    <comment ref="B5" authorId="1" shapeId="0">
      <text>
        <r>
          <rPr>
            <b/>
            <i/>
            <sz val="12"/>
            <color indexed="17"/>
            <rFont val="B Esfehan"/>
            <charset val="178"/>
          </rPr>
          <t xml:space="preserve">تعداد گواهی </t>
        </r>
      </text>
    </comment>
    <comment ref="B6" authorId="1" shapeId="0">
      <text>
        <r>
          <rPr>
            <b/>
            <i/>
            <sz val="12"/>
            <color indexed="17"/>
            <rFont val="B Esfehan"/>
            <charset val="178"/>
          </rPr>
          <t xml:space="preserve">تعداد گواهی </t>
        </r>
      </text>
    </comment>
    <comment ref="B7" authorId="1" shapeId="0">
      <text>
        <r>
          <rPr>
            <b/>
            <i/>
            <sz val="12"/>
            <color indexed="17"/>
            <rFont val="B Esfehan"/>
            <charset val="178"/>
          </rPr>
          <t xml:space="preserve">تعداد گواهی </t>
        </r>
      </text>
    </comment>
    <comment ref="B8" authorId="1" shapeId="0">
      <text>
        <r>
          <rPr>
            <b/>
            <i/>
            <sz val="12"/>
            <color indexed="17"/>
            <rFont val="B Esfehan"/>
            <charset val="178"/>
          </rPr>
          <t xml:space="preserve">تعداد گواهی </t>
        </r>
      </text>
    </comment>
    <comment ref="B9" authorId="1" shapeId="0">
      <text>
        <r>
          <rPr>
            <b/>
            <i/>
            <sz val="12"/>
            <color indexed="17"/>
            <rFont val="B Esfehan"/>
            <charset val="178"/>
          </rPr>
          <t xml:space="preserve">تعداد بررسی صحت و اصالت گواهی های بهداشتی </t>
        </r>
      </text>
    </comment>
    <comment ref="B10" authorId="1" shapeId="0">
      <text>
        <r>
          <rPr>
            <b/>
            <i/>
            <sz val="12"/>
            <color indexed="17"/>
            <rFont val="B Esfehan"/>
            <charset val="178"/>
          </rPr>
          <t xml:space="preserve">تعداد بازدید نمونه برداری </t>
        </r>
      </text>
    </comment>
    <comment ref="B11" authorId="1" shapeId="0">
      <text>
        <r>
          <rPr>
            <b/>
            <i/>
            <sz val="12"/>
            <color indexed="17"/>
            <rFont val="B Esfehan"/>
            <charset val="178"/>
          </rPr>
          <t xml:space="preserve">تعداد بازدید </t>
        </r>
      </text>
    </comment>
    <comment ref="B12" authorId="1" shapeId="0">
      <text>
        <r>
          <rPr>
            <b/>
            <i/>
            <sz val="12"/>
            <color indexed="17"/>
            <rFont val="B Esfehan"/>
            <charset val="178"/>
          </rPr>
          <t>بر حسب یکصد تن</t>
        </r>
      </text>
    </comment>
    <comment ref="B13" authorId="1" shapeId="0">
      <text>
        <r>
          <rPr>
            <b/>
            <i/>
            <sz val="12"/>
            <color indexed="17"/>
            <rFont val="B Esfehan"/>
            <charset val="178"/>
          </rPr>
          <t xml:space="preserve">بر حسب یک هزار واحد دامی </t>
        </r>
      </text>
    </comment>
    <comment ref="B14" authorId="1" shapeId="0">
      <text>
        <r>
          <rPr>
            <b/>
            <i/>
            <sz val="12"/>
            <color indexed="17"/>
            <rFont val="B Esfehan"/>
            <charset val="178"/>
          </rPr>
          <t>تناژ نهاده های ضدعفونی شده</t>
        </r>
      </text>
    </comment>
    <comment ref="B15" authorId="1" shapeId="0">
      <text>
        <r>
          <rPr>
            <b/>
            <i/>
            <sz val="12"/>
            <color indexed="17"/>
            <rFont val="B Esfehan"/>
            <charset val="178"/>
          </rPr>
          <t xml:space="preserve">تعداد پست قرنطینه فعال بر حسب شبانه روز </t>
        </r>
      </text>
    </comment>
    <comment ref="B16" authorId="1" shapeId="0">
      <text>
        <r>
          <rPr>
            <b/>
            <i/>
            <sz val="12"/>
            <color indexed="17"/>
            <rFont val="B Esfehan"/>
            <charset val="178"/>
          </rPr>
          <t xml:space="preserve">تعداد پست قرنطینه فعال بر حسب شبانه روز </t>
        </r>
      </text>
    </comment>
    <comment ref="B17" authorId="1" shapeId="0">
      <text>
        <r>
          <rPr>
            <b/>
            <i/>
            <sz val="12"/>
            <color indexed="17"/>
            <rFont val="B Esfehan"/>
            <charset val="178"/>
          </rPr>
          <t xml:space="preserve">تعداد پست قرنطینه فعال بر حسب شبانه روز </t>
        </r>
      </text>
    </comment>
    <comment ref="B18" authorId="1" shapeId="0">
      <text>
        <r>
          <rPr>
            <b/>
            <i/>
            <sz val="12"/>
            <color indexed="17"/>
            <rFont val="B Esfehan"/>
            <charset val="178"/>
          </rPr>
          <t xml:space="preserve">تعداد پست قرنطینه فعال بر حسب شبانه روز </t>
        </r>
      </text>
    </comment>
    <comment ref="B19" authorId="1" shapeId="0">
      <text>
        <r>
          <rPr>
            <b/>
            <i/>
            <sz val="12"/>
            <color indexed="17"/>
            <rFont val="B Esfehan"/>
            <charset val="178"/>
          </rPr>
          <t>در صورت استقرار قرنطینه سیار (خودرو) در راه های مواصلاتی (چند شیفت)</t>
        </r>
      </text>
    </comment>
    <comment ref="B20" authorId="1" shapeId="0">
      <text>
        <r>
          <rPr>
            <b/>
            <i/>
            <sz val="12"/>
            <color indexed="17"/>
            <rFont val="B Esfehan"/>
            <charset val="178"/>
          </rPr>
          <t>تعداد بازدید از سايت هاي ضدعفوني خودروهاي حمل جهت ارزیابی عملیات ضدعفونی</t>
        </r>
      </text>
    </comment>
    <comment ref="B21" authorId="1" shapeId="0">
      <text>
        <r>
          <rPr>
            <b/>
            <i/>
            <sz val="12"/>
            <color indexed="17"/>
            <rFont val="B Esfehan"/>
            <charset val="178"/>
          </rPr>
          <t>تعداد بازدید از پست قرنطينه جهت ارزیابی عملکرد پست قرنطینه</t>
        </r>
      </text>
    </comment>
    <comment ref="B22" authorId="1" shapeId="0">
      <text>
        <r>
          <rPr>
            <b/>
            <i/>
            <sz val="12"/>
            <color indexed="17"/>
            <rFont val="B Esfehan"/>
            <charset val="178"/>
          </rPr>
          <t>تعداد نمونه های سرمی اخذ شده و تحویل داده شده جهت بررسی های آزمایشگاهی
(بعبارتی نمونه های گرفته شده توسط اکیپ جهت آزمایش)</t>
        </r>
      </text>
    </comment>
    <comment ref="B23" authorId="1" shapeId="0">
      <text>
        <r>
          <rPr>
            <b/>
            <i/>
            <sz val="12"/>
            <color indexed="17"/>
            <rFont val="B Esfehan"/>
            <charset val="178"/>
          </rPr>
          <t>تعداد نمونه های بافتی اخذ شده و تحویل داده شده جهت بررسی های آزمایشگاهی
(بعبارتی نمونه های گرفته شده توسط اکیپ جهت آزمایش)</t>
        </r>
      </text>
    </comment>
    <comment ref="B24" authorId="1" shapeId="0">
      <text>
        <r>
          <rPr>
            <b/>
            <i/>
            <sz val="12"/>
            <color indexed="17"/>
            <rFont val="B Esfehan"/>
            <charset val="178"/>
          </rPr>
          <t>تعداد نمونه های "نهاده" اخذ شده و تحویل داده شده جهت بررسی های آزمایشگاهی
(بعبارتی نمونه های گرفته شده توسط اکیپ جهت آزمایش)</t>
        </r>
      </text>
    </comment>
    <comment ref="B25" authorId="1" shapeId="0">
      <text>
        <r>
          <rPr>
            <b/>
            <i/>
            <sz val="12"/>
            <color indexed="17"/>
            <rFont val="B Esfehan"/>
            <charset val="178"/>
          </rPr>
          <t>چند دستگاه</t>
        </r>
      </text>
    </comment>
    <comment ref="B26" authorId="1" shapeId="0">
      <text>
        <r>
          <rPr>
            <b/>
            <i/>
            <sz val="12"/>
            <color indexed="17"/>
            <rFont val="B Esfehan"/>
            <charset val="178"/>
          </rPr>
          <t>چند دستگاه</t>
        </r>
      </text>
    </comment>
    <comment ref="B27" authorId="1" shapeId="0">
      <text>
        <r>
          <rPr>
            <b/>
            <i/>
            <sz val="12"/>
            <color indexed="17"/>
            <rFont val="B Esfehan"/>
            <charset val="178"/>
          </rPr>
          <t>تعداد صدور/ تمدید</t>
        </r>
      </text>
    </comment>
    <comment ref="B28" authorId="1" shapeId="0">
      <text>
        <r>
          <rPr>
            <b/>
            <i/>
            <sz val="12"/>
            <color indexed="17"/>
            <rFont val="B Esfehan"/>
            <charset val="178"/>
          </rPr>
          <t>تعداد صدور/ تمدید</t>
        </r>
      </text>
    </comment>
    <comment ref="B29" authorId="1" shapeId="0">
      <text>
        <r>
          <rPr>
            <b/>
            <i/>
            <sz val="12"/>
            <color indexed="17"/>
            <rFont val="B Esfehan"/>
            <charset val="178"/>
          </rPr>
          <t xml:space="preserve">تعداد گواهی </t>
        </r>
      </text>
    </comment>
    <comment ref="B30" authorId="1" shapeId="0">
      <text>
        <r>
          <rPr>
            <b/>
            <i/>
            <sz val="12"/>
            <color indexed="17"/>
            <rFont val="B Esfehan"/>
            <charset val="178"/>
          </rPr>
          <t xml:space="preserve">تعداد گواهی </t>
        </r>
      </text>
    </comment>
    <comment ref="B31" authorId="1" shapeId="0">
      <text>
        <r>
          <rPr>
            <b/>
            <i/>
            <sz val="12"/>
            <color indexed="17"/>
            <rFont val="B Esfehan"/>
            <charset val="178"/>
          </rPr>
          <t xml:space="preserve">تعداد گواهی </t>
        </r>
      </text>
    </comment>
    <comment ref="B32" authorId="1" shapeId="0">
      <text>
        <r>
          <rPr>
            <b/>
            <i/>
            <sz val="12"/>
            <color indexed="17"/>
            <rFont val="B Esfehan"/>
            <charset val="178"/>
          </rPr>
          <t xml:space="preserve">تعداد گواهی </t>
        </r>
      </text>
    </comment>
    <comment ref="B33" authorId="1" shapeId="0">
      <text>
        <r>
          <rPr>
            <b/>
            <i/>
            <sz val="12"/>
            <color indexed="17"/>
            <rFont val="B Esfehan"/>
            <charset val="178"/>
          </rPr>
          <t xml:space="preserve">تعداد گواهی </t>
        </r>
      </text>
    </comment>
    <comment ref="B34" authorId="1" shapeId="0">
      <text>
        <r>
          <rPr>
            <b/>
            <i/>
            <sz val="12"/>
            <color indexed="17"/>
            <rFont val="B Esfehan"/>
            <charset val="178"/>
          </rPr>
          <t xml:space="preserve">تعداد بررسی صحت و اصالت گواهی های بهداشتی </t>
        </r>
      </text>
    </comment>
    <comment ref="B35" authorId="1" shapeId="0">
      <text>
        <r>
          <rPr>
            <b/>
            <i/>
            <sz val="12"/>
            <color indexed="17"/>
            <rFont val="B Esfehan"/>
            <charset val="178"/>
          </rPr>
          <t xml:space="preserve">تعداد بازدید نمونه برداری </t>
        </r>
      </text>
    </comment>
    <comment ref="B36" authorId="1" shapeId="0">
      <text>
        <r>
          <rPr>
            <b/>
            <i/>
            <sz val="12"/>
            <color indexed="17"/>
            <rFont val="B Esfehan"/>
            <charset val="178"/>
          </rPr>
          <t xml:space="preserve">تعداد بازدید </t>
        </r>
      </text>
    </comment>
    <comment ref="B37" authorId="1" shapeId="0">
      <text>
        <r>
          <rPr>
            <b/>
            <i/>
            <sz val="12"/>
            <color indexed="17"/>
            <rFont val="B Esfehan"/>
            <charset val="178"/>
          </rPr>
          <t>چند دستگاه</t>
        </r>
      </text>
    </comment>
    <comment ref="B38" authorId="1" shapeId="0">
      <text>
        <r>
          <rPr>
            <b/>
            <i/>
            <sz val="12"/>
            <color indexed="17"/>
            <rFont val="B Esfehan"/>
            <charset val="178"/>
          </rPr>
          <t>چند دستگاه</t>
        </r>
      </text>
    </comment>
    <comment ref="B39" authorId="1" shapeId="0">
      <text>
        <r>
          <rPr>
            <b/>
            <i/>
            <sz val="12"/>
            <color indexed="17"/>
            <rFont val="B Esfehan"/>
            <charset val="178"/>
          </rPr>
          <t>تعداد صدور/ تمدید</t>
        </r>
      </text>
    </comment>
    <comment ref="B40" authorId="1" shapeId="0">
      <text>
        <r>
          <rPr>
            <b/>
            <i/>
            <sz val="12"/>
            <color indexed="17"/>
            <rFont val="B Esfehan"/>
            <charset val="178"/>
          </rPr>
          <t>تعداد صدور/ تمدید</t>
        </r>
      </text>
    </comment>
    <comment ref="B41" authorId="1" shapeId="0">
      <text>
        <r>
          <rPr>
            <b/>
            <i/>
            <sz val="12"/>
            <color indexed="17"/>
            <rFont val="B Esfehan"/>
            <charset val="178"/>
          </rPr>
          <t>تعداد بازرسی نمونه برداری</t>
        </r>
      </text>
    </comment>
    <comment ref="B42" authorId="1" shapeId="0">
      <text>
        <r>
          <rPr>
            <b/>
            <i/>
            <sz val="12"/>
            <color indexed="17"/>
            <rFont val="B Esfehan"/>
            <charset val="178"/>
          </rPr>
          <t>تعداد بازرسی نمونه برداری</t>
        </r>
      </text>
    </comment>
    <comment ref="B43" authorId="1" shapeId="0">
      <text>
        <r>
          <rPr>
            <b/>
            <i/>
            <sz val="12"/>
            <color indexed="17"/>
            <rFont val="B Esfehan"/>
            <charset val="178"/>
          </rPr>
          <t>تناژ امحاء شده</t>
        </r>
      </text>
    </comment>
    <comment ref="B44" authorId="1" shapeId="0">
      <text>
        <r>
          <rPr>
            <b/>
            <i/>
            <sz val="12"/>
            <color indexed="17"/>
            <rFont val="B Esfehan"/>
            <charset val="178"/>
          </rPr>
          <t>تعداد پرونده</t>
        </r>
      </text>
    </comment>
    <comment ref="B45" authorId="1" shapeId="0">
      <text>
        <r>
          <rPr>
            <b/>
            <i/>
            <sz val="12"/>
            <color indexed="17"/>
            <rFont val="B Esfehan"/>
            <charset val="178"/>
          </rPr>
          <t>تعداد بررسی</t>
        </r>
      </text>
    </comment>
    <comment ref="B46" authorId="1" shapeId="0">
      <text>
        <r>
          <rPr>
            <b/>
            <i/>
            <sz val="12"/>
            <color indexed="17"/>
            <rFont val="B Esfehan"/>
            <charset val="178"/>
          </rPr>
          <t>تعداد بررسی</t>
        </r>
      </text>
    </comment>
    <comment ref="B47" authorId="1" shapeId="0">
      <text>
        <r>
          <rPr>
            <b/>
            <i/>
            <sz val="12"/>
            <color indexed="17"/>
            <rFont val="B Esfehan"/>
            <charset val="178"/>
          </rPr>
          <t>تعداد بررسی</t>
        </r>
      </text>
    </comment>
    <comment ref="A48" authorId="1" shapeId="0">
      <text>
        <r>
          <rPr>
            <b/>
            <i/>
            <sz val="12"/>
            <color indexed="17"/>
            <rFont val="B Esfehan"/>
            <charset val="178"/>
          </rPr>
          <t xml:space="preserve">از آنجایی که فعالیت ها در یک عملیات از نظر نوع، زمانبری، تعداد و مهارت کارکنان ، حجم آن فعالیت و ... متفاوت می باشند لاجرم نیاز به همسان سازی فعالیت ها و محاسبه ارزش وزنی واحد برای آن ها هستیم که به آن کمیت سنجه عملکرد همسان شده می گویند و عنوان سنجه عملکرد آن معمولاً واحد فعالیتی است که از ارزش وزنی بالاتری برخوردار است یا بهترین معرف برای عملیات است و شاخص سنجه عماکرد نیز ارزش وزنی واحد آن فعالیت می باشد.    </t>
        </r>
      </text>
    </comment>
  </commentList>
</comments>
</file>

<file path=xl/comments15.xml><?xml version="1.0" encoding="utf-8"?>
<comments xmlns="http://schemas.openxmlformats.org/spreadsheetml/2006/main">
  <authors>
    <author>Ali Akbar Faraji</author>
  </authors>
  <commentList>
    <comment ref="C2" authorId="0" shapeId="0">
      <text>
        <r>
          <rPr>
            <b/>
            <i/>
            <sz val="12"/>
            <color indexed="17"/>
            <rFont val="B Esfehan"/>
            <charset val="178"/>
          </rPr>
          <t>لطفاً تعداد کل خودروهای دارای پرروانه اشتغال به حمل در استان را درج نمایید</t>
        </r>
      </text>
    </comment>
  </commentList>
</comments>
</file>

<file path=xl/comments16.xml><?xml version="1.0" encoding="utf-8"?>
<comments xmlns="http://schemas.openxmlformats.org/spreadsheetml/2006/main">
  <authors>
    <author>Dr faraji</author>
    <author>Ali Akbar Faraji</author>
  </authors>
  <commentList>
    <comment ref="B2" authorId="0" shapeId="0">
      <text>
        <r>
          <rPr>
            <b/>
            <sz val="12"/>
            <color indexed="17"/>
            <rFont val="B Esfehan"/>
            <charset val="178"/>
          </rPr>
          <t>لطفاً فقط ستون حجم عمليات بخش دولتی و خصوصی را در صورتي كه استان واجد عمليات مي باشد تكميل نماييد.</t>
        </r>
      </text>
    </comment>
    <comment ref="B4" authorId="1" shapeId="0">
      <text>
        <r>
          <rPr>
            <b/>
            <i/>
            <sz val="12"/>
            <color indexed="17"/>
            <rFont val="B Esfehan"/>
            <charset val="178"/>
          </rPr>
          <t xml:space="preserve">تعداد صدور مجوز </t>
        </r>
      </text>
    </comment>
    <comment ref="B5" authorId="1" shapeId="0">
      <text>
        <r>
          <rPr>
            <b/>
            <i/>
            <sz val="12"/>
            <color indexed="17"/>
            <rFont val="B Esfehan"/>
            <charset val="178"/>
          </rPr>
          <t xml:space="preserve">تعداد صدور مجوز </t>
        </r>
      </text>
    </comment>
    <comment ref="B6" authorId="1" shapeId="0">
      <text>
        <r>
          <rPr>
            <b/>
            <i/>
            <sz val="12"/>
            <color indexed="17"/>
            <rFont val="B Esfehan"/>
            <charset val="178"/>
          </rPr>
          <t>تعداد تجديد/ تمديد مجوز</t>
        </r>
      </text>
    </comment>
    <comment ref="B7" authorId="1" shapeId="0">
      <text>
        <r>
          <rPr>
            <b/>
            <i/>
            <sz val="12"/>
            <color indexed="17"/>
            <rFont val="B Esfehan"/>
            <charset val="178"/>
          </rPr>
          <t xml:space="preserve">تعداد صدور مجوز </t>
        </r>
      </text>
    </comment>
    <comment ref="B8" authorId="1" shapeId="0">
      <text>
        <r>
          <rPr>
            <b/>
            <i/>
            <sz val="12"/>
            <color indexed="17"/>
            <rFont val="B Esfehan"/>
            <charset val="178"/>
          </rPr>
          <t xml:space="preserve">تعداد صدور مجوز </t>
        </r>
      </text>
    </comment>
    <comment ref="B9" authorId="1" shapeId="0">
      <text>
        <r>
          <rPr>
            <b/>
            <i/>
            <sz val="12"/>
            <color indexed="17"/>
            <rFont val="B Esfehan"/>
            <charset val="178"/>
          </rPr>
          <t>تعداد تجديد/ تمديد مجوز</t>
        </r>
      </text>
    </comment>
    <comment ref="B10" authorId="1" shapeId="0">
      <text>
        <r>
          <rPr>
            <b/>
            <i/>
            <sz val="12"/>
            <color indexed="17"/>
            <rFont val="B Esfehan"/>
            <charset val="178"/>
          </rPr>
          <t xml:space="preserve">تعداد  صدور/ تجديد/ تمديد  مجوز </t>
        </r>
      </text>
    </comment>
    <comment ref="B11" authorId="1" shapeId="0">
      <text>
        <r>
          <rPr>
            <b/>
            <i/>
            <sz val="12"/>
            <color indexed="17"/>
            <rFont val="B Esfehan"/>
            <charset val="178"/>
          </rPr>
          <t xml:space="preserve">تعداد صدور مجوز </t>
        </r>
      </text>
    </comment>
    <comment ref="B12" authorId="1" shapeId="0">
      <text>
        <r>
          <rPr>
            <b/>
            <i/>
            <sz val="12"/>
            <color indexed="17"/>
            <rFont val="B Esfehan"/>
            <charset val="178"/>
          </rPr>
          <t xml:space="preserve">تعداد بازدید </t>
        </r>
      </text>
    </comment>
    <comment ref="B13" authorId="1" shapeId="0">
      <text>
        <r>
          <rPr>
            <b/>
            <i/>
            <sz val="12"/>
            <color indexed="17"/>
            <rFont val="B Esfehan"/>
            <charset val="178"/>
          </rPr>
          <t xml:space="preserve">تعداد بازدید </t>
        </r>
      </text>
    </comment>
    <comment ref="B14" authorId="1" shapeId="0">
      <text>
        <r>
          <rPr>
            <b/>
            <i/>
            <sz val="12"/>
            <color indexed="17"/>
            <rFont val="B Esfehan"/>
            <charset val="178"/>
          </rPr>
          <t xml:space="preserve">تعداد بازدید </t>
        </r>
      </text>
    </comment>
    <comment ref="B15" authorId="1" shapeId="0">
      <text>
        <r>
          <rPr>
            <b/>
            <i/>
            <sz val="12"/>
            <color indexed="17"/>
            <rFont val="B Esfehan"/>
            <charset val="178"/>
          </rPr>
          <t xml:space="preserve">تعداد بازدید </t>
        </r>
      </text>
    </comment>
    <comment ref="B16" authorId="1" shapeId="0">
      <text>
        <r>
          <rPr>
            <b/>
            <i/>
            <sz val="12"/>
            <color indexed="17"/>
            <rFont val="B Esfehan"/>
            <charset val="178"/>
          </rPr>
          <t xml:space="preserve">تعداد بازدید </t>
        </r>
      </text>
    </comment>
    <comment ref="B17" authorId="1" shapeId="0">
      <text>
        <r>
          <rPr>
            <b/>
            <i/>
            <sz val="12"/>
            <color indexed="17"/>
            <rFont val="B Esfehan"/>
            <charset val="178"/>
          </rPr>
          <t xml:space="preserve">تعداد بازدید </t>
        </r>
      </text>
    </comment>
    <comment ref="B18" authorId="1" shapeId="0">
      <text>
        <r>
          <rPr>
            <b/>
            <i/>
            <sz val="12"/>
            <color indexed="17"/>
            <rFont val="B Esfehan"/>
            <charset val="178"/>
          </rPr>
          <t xml:space="preserve">تعداد بازدید </t>
        </r>
      </text>
    </comment>
    <comment ref="B19" authorId="1" shapeId="0">
      <text>
        <r>
          <rPr>
            <b/>
            <i/>
            <sz val="12"/>
            <color indexed="17"/>
            <rFont val="B Esfehan"/>
            <charset val="178"/>
          </rPr>
          <t xml:space="preserve">تعداد بازرسی </t>
        </r>
      </text>
    </comment>
    <comment ref="B20" authorId="1" shapeId="0">
      <text>
        <r>
          <rPr>
            <b/>
            <i/>
            <sz val="12"/>
            <color indexed="17"/>
            <rFont val="B Esfehan"/>
            <charset val="178"/>
          </rPr>
          <t xml:space="preserve">تعداد بازرسی </t>
        </r>
      </text>
    </comment>
    <comment ref="B21" authorId="1" shapeId="0">
      <text>
        <r>
          <rPr>
            <b/>
            <i/>
            <sz val="12"/>
            <color indexed="17"/>
            <rFont val="B Esfehan"/>
            <charset val="178"/>
          </rPr>
          <t xml:space="preserve">تعداد بازرسی </t>
        </r>
      </text>
    </comment>
    <comment ref="B22" authorId="1" shapeId="0">
      <text>
        <r>
          <rPr>
            <b/>
            <i/>
            <sz val="12"/>
            <color indexed="17"/>
            <rFont val="B Esfehan"/>
            <charset val="178"/>
          </rPr>
          <t>تعداد نمونه های (دارو ، سم ، مكمل ، ضدعفوني ، واكسن و ...) اخذ شده و تحویل داده شده جهت بررسی های آزمایشگاهی
(بعبارتی نمونه های گرفته شده توسط اکیپ جهت آزمایش)</t>
        </r>
      </text>
    </comment>
    <comment ref="B23" authorId="1" shapeId="0">
      <text>
        <r>
          <rPr>
            <b/>
            <i/>
            <sz val="12"/>
            <color indexed="17"/>
            <rFont val="B Esfehan"/>
            <charset val="178"/>
          </rPr>
          <t>تعداد نمونه های (فراورده های خام دامی) اخذ شده و تحویل داده شده جهت بررسی های آزمایشگاهی
(بعبارتی نمونه های گرفته شده توسط اکیپ جهت آزمایش)</t>
        </r>
      </text>
    </comment>
    <comment ref="B24" authorId="1" shapeId="0">
      <text>
        <r>
          <rPr>
            <b/>
            <i/>
            <sz val="12"/>
            <color indexed="17"/>
            <rFont val="B Esfehan"/>
            <charset val="178"/>
          </rPr>
          <t>تعداد نمونه های "نهاده" اخذ شده و تحویل داده شده جهت بررسی های آزمایشگاهی
(بعبارتی نمونه های گرفته شده توسط اکیپ جهت آزمایش)</t>
        </r>
      </text>
    </comment>
    <comment ref="B25" authorId="1" shapeId="0">
      <text>
        <r>
          <rPr>
            <b/>
            <i/>
            <sz val="12"/>
            <color indexed="17"/>
            <rFont val="B Esfehan"/>
            <charset val="178"/>
          </rPr>
          <t xml:space="preserve">تعداد پلمپ </t>
        </r>
      </text>
    </comment>
    <comment ref="B26" authorId="1" shapeId="0">
      <text>
        <r>
          <rPr>
            <b/>
            <i/>
            <sz val="12"/>
            <color indexed="17"/>
            <rFont val="B Esfehan"/>
            <charset val="178"/>
          </rPr>
          <t xml:space="preserve">تعداد فک پلمپ </t>
        </r>
      </text>
    </comment>
    <comment ref="B27" authorId="1" shapeId="0">
      <text>
        <r>
          <rPr>
            <b/>
            <i/>
            <sz val="12"/>
            <color indexed="17"/>
            <rFont val="B Esfehan"/>
            <charset val="178"/>
          </rPr>
          <t>تناژ امحاء شده</t>
        </r>
      </text>
    </comment>
    <comment ref="B28" authorId="1" shapeId="0">
      <text>
        <r>
          <rPr>
            <b/>
            <i/>
            <sz val="12"/>
            <color indexed="17"/>
            <rFont val="B Esfehan"/>
            <charset val="178"/>
          </rPr>
          <t>تعداد پرونده</t>
        </r>
      </text>
    </comment>
    <comment ref="B29" authorId="1" shapeId="0">
      <text>
        <r>
          <rPr>
            <b/>
            <i/>
            <sz val="12"/>
            <color indexed="17"/>
            <rFont val="B Esfehan"/>
            <charset val="178"/>
          </rPr>
          <t xml:space="preserve">تعداد بازدید </t>
        </r>
      </text>
    </comment>
    <comment ref="B30" authorId="1" shapeId="0">
      <text>
        <r>
          <rPr>
            <b/>
            <i/>
            <sz val="12"/>
            <color indexed="17"/>
            <rFont val="B Esfehan"/>
            <charset val="178"/>
          </rPr>
          <t xml:space="preserve">تعداد بازدید </t>
        </r>
      </text>
    </comment>
    <comment ref="B31" authorId="1" shapeId="0">
      <text>
        <r>
          <rPr>
            <b/>
            <i/>
            <sz val="12"/>
            <color indexed="17"/>
            <rFont val="B Esfehan"/>
            <charset val="178"/>
          </rPr>
          <t xml:space="preserve">تعداد پلمپ </t>
        </r>
      </text>
    </comment>
    <comment ref="B32" authorId="1" shapeId="0">
      <text>
        <r>
          <rPr>
            <b/>
            <i/>
            <sz val="12"/>
            <color indexed="17"/>
            <rFont val="B Esfehan"/>
            <charset val="178"/>
          </rPr>
          <t xml:space="preserve">تعداد فک پلمپ </t>
        </r>
      </text>
    </comment>
    <comment ref="B33" authorId="1" shapeId="0">
      <text>
        <r>
          <rPr>
            <b/>
            <i/>
            <sz val="12"/>
            <color indexed="17"/>
            <rFont val="B Esfehan"/>
            <charset val="178"/>
          </rPr>
          <t xml:space="preserve">تعداد صدور مجوز </t>
        </r>
      </text>
    </comment>
    <comment ref="B34" authorId="1" shapeId="0">
      <text>
        <r>
          <rPr>
            <b/>
            <i/>
            <sz val="12"/>
            <color indexed="17"/>
            <rFont val="B Esfehan"/>
            <charset val="178"/>
          </rPr>
          <t xml:space="preserve">تعداد تمدید مجوز </t>
        </r>
      </text>
    </comment>
    <comment ref="B35" authorId="1" shapeId="0">
      <text>
        <r>
          <rPr>
            <b/>
            <i/>
            <sz val="12"/>
            <color indexed="17"/>
            <rFont val="B Esfehan"/>
            <charset val="178"/>
          </rPr>
          <t>راس (لطفاً در درج حجم فعالیت بخش دولتی و غیر دولتی دقت فرمایند)</t>
        </r>
      </text>
    </comment>
    <comment ref="B36" authorId="1" shapeId="0">
      <text>
        <r>
          <rPr>
            <b/>
            <i/>
            <sz val="12"/>
            <color indexed="17"/>
            <rFont val="B Esfehan"/>
            <charset val="178"/>
          </rPr>
          <t>راس (لطفاً در درج حجم فعالیت بخش دولتی و غیر دولتی دقت فرمایند)</t>
        </r>
      </text>
    </comment>
    <comment ref="B37" authorId="1" shapeId="0">
      <text>
        <r>
          <rPr>
            <b/>
            <i/>
            <sz val="12"/>
            <color indexed="17"/>
            <rFont val="B Esfehan"/>
            <charset val="178"/>
          </rPr>
          <t>راس (لطفاً در درج حجم فعالیت بخش دولتی و غیر دولتی دقت فرمایند)</t>
        </r>
      </text>
    </comment>
    <comment ref="B38" authorId="1" shapeId="0">
      <text>
        <r>
          <rPr>
            <b/>
            <i/>
            <sz val="12"/>
            <color indexed="17"/>
            <rFont val="B Esfehan"/>
            <charset val="178"/>
          </rPr>
          <t>راس (لطفاً در درج حجم فعالیت بخش دولتی و غیر دولتی دقت فرمایند)</t>
        </r>
      </text>
    </comment>
    <comment ref="B39" authorId="1" shapeId="0">
      <text>
        <r>
          <rPr>
            <b/>
            <i/>
            <sz val="12"/>
            <color indexed="17"/>
            <rFont val="B Esfehan"/>
            <charset val="178"/>
          </rPr>
          <t>راس (لطفاً در درج حجم فعالیت بخش دولتی و غیر دولتی دقت فرمایند)</t>
        </r>
      </text>
    </comment>
    <comment ref="B40" authorId="1" shapeId="0">
      <text>
        <r>
          <rPr>
            <b/>
            <i/>
            <sz val="12"/>
            <color indexed="17"/>
            <rFont val="B Esfehan"/>
            <charset val="178"/>
          </rPr>
          <t>راس (لطفاً در درج حجم فعالیت بخش دولتی و غیر دولتی دقت فرمایند)</t>
        </r>
      </text>
    </comment>
    <comment ref="B41" authorId="1" shapeId="0">
      <text>
        <r>
          <rPr>
            <b/>
            <i/>
            <sz val="12"/>
            <color indexed="17"/>
            <rFont val="B Esfehan"/>
            <charset val="178"/>
          </rPr>
          <t>قطعه (لطفاً در درج حجم فعالیت بخش دولتی و غیر دولتی دقت فرمایند)</t>
        </r>
      </text>
    </comment>
    <comment ref="B42" authorId="1" shapeId="0">
      <text>
        <r>
          <rPr>
            <b/>
            <i/>
            <sz val="12"/>
            <color indexed="17"/>
            <rFont val="B Esfehan"/>
            <charset val="178"/>
          </rPr>
          <t>قطعه (لطفاً در درج حجم فعالیت بخش دولتی و غیر دولتی دقت فرمایند)</t>
        </r>
      </text>
    </comment>
    <comment ref="B43" authorId="1" shapeId="0">
      <text>
        <r>
          <rPr>
            <b/>
            <i/>
            <sz val="12"/>
            <color indexed="17"/>
            <rFont val="B Esfehan"/>
            <charset val="178"/>
          </rPr>
          <t xml:space="preserve">تعداد بازدید </t>
        </r>
      </text>
    </comment>
    <comment ref="B44" authorId="1" shapeId="0">
      <text>
        <r>
          <rPr>
            <b/>
            <i/>
            <sz val="12"/>
            <color indexed="17"/>
            <rFont val="B Esfehan"/>
            <charset val="178"/>
          </rPr>
          <t xml:space="preserve">تعداد بازدید </t>
        </r>
      </text>
    </comment>
    <comment ref="B45" authorId="1" shapeId="0">
      <text>
        <r>
          <rPr>
            <b/>
            <i/>
            <sz val="12"/>
            <color indexed="17"/>
            <rFont val="B Esfehan"/>
            <charset val="178"/>
          </rPr>
          <t xml:space="preserve">تعداد بازدید </t>
        </r>
      </text>
    </comment>
    <comment ref="B46" authorId="1" shapeId="0">
      <text>
        <r>
          <rPr>
            <b/>
            <i/>
            <sz val="12"/>
            <color indexed="17"/>
            <rFont val="B Esfehan"/>
            <charset val="178"/>
          </rPr>
          <t xml:space="preserve">تعداد بازدید </t>
        </r>
      </text>
    </comment>
    <comment ref="B47" authorId="1" shapeId="0">
      <text>
        <r>
          <rPr>
            <b/>
            <i/>
            <sz val="12"/>
            <color indexed="17"/>
            <rFont val="B Esfehan"/>
            <charset val="178"/>
          </rPr>
          <t xml:space="preserve">تعداد بازدید </t>
        </r>
      </text>
    </comment>
    <comment ref="B48" authorId="1" shapeId="0">
      <text>
        <r>
          <rPr>
            <b/>
            <i/>
            <sz val="12"/>
            <color indexed="17"/>
            <rFont val="B Esfehan"/>
            <charset val="178"/>
          </rPr>
          <t xml:space="preserve">تعداد بازدید </t>
        </r>
      </text>
    </comment>
    <comment ref="B49" authorId="1" shapeId="0">
      <text>
        <r>
          <rPr>
            <b/>
            <i/>
            <sz val="12"/>
            <color indexed="17"/>
            <rFont val="B Esfehan"/>
            <charset val="178"/>
          </rPr>
          <t xml:space="preserve">تعداد بازدید </t>
        </r>
      </text>
    </comment>
    <comment ref="B50" authorId="1" shapeId="0">
      <text>
        <r>
          <rPr>
            <b/>
            <i/>
            <sz val="12"/>
            <color indexed="17"/>
            <rFont val="B Esfehan"/>
            <charset val="178"/>
          </rPr>
          <t xml:space="preserve">تعداد بازدید </t>
        </r>
      </text>
    </comment>
    <comment ref="B51" authorId="1" shapeId="0">
      <text>
        <r>
          <rPr>
            <b/>
            <i/>
            <sz val="12"/>
            <color indexed="17"/>
            <rFont val="B Esfehan"/>
            <charset val="178"/>
          </rPr>
          <t xml:space="preserve">تعداد بازدید </t>
        </r>
      </text>
    </comment>
    <comment ref="B52" authorId="1" shapeId="0">
      <text>
        <r>
          <rPr>
            <b/>
            <i/>
            <sz val="12"/>
            <color indexed="17"/>
            <rFont val="B Esfehan"/>
            <charset val="178"/>
          </rPr>
          <t xml:space="preserve">تعداد بازدید </t>
        </r>
      </text>
    </comment>
    <comment ref="B53" authorId="1" shapeId="0">
      <text>
        <r>
          <rPr>
            <b/>
            <i/>
            <sz val="12"/>
            <color indexed="17"/>
            <rFont val="B Esfehan"/>
            <charset val="178"/>
          </rPr>
          <t xml:space="preserve">تعداد بازدید </t>
        </r>
      </text>
    </comment>
    <comment ref="B54" authorId="1" shapeId="0">
      <text>
        <r>
          <rPr>
            <b/>
            <i/>
            <sz val="12"/>
            <color indexed="17"/>
            <rFont val="B Esfehan"/>
            <charset val="178"/>
          </rPr>
          <t xml:space="preserve">تعداد بازدید </t>
        </r>
      </text>
    </comment>
    <comment ref="B55" authorId="1" shapeId="0">
      <text>
        <r>
          <rPr>
            <b/>
            <i/>
            <sz val="12"/>
            <color indexed="17"/>
            <rFont val="B Esfehan"/>
            <charset val="178"/>
          </rPr>
          <t xml:space="preserve">تعداد بازدید </t>
        </r>
      </text>
    </comment>
    <comment ref="B56" authorId="1" shapeId="0">
      <text>
        <r>
          <rPr>
            <b/>
            <i/>
            <sz val="12"/>
            <color indexed="17"/>
            <rFont val="B Esfehan"/>
            <charset val="178"/>
          </rPr>
          <t xml:space="preserve">تعداد بازدید </t>
        </r>
      </text>
    </comment>
    <comment ref="B57" authorId="1" shapeId="0">
      <text>
        <r>
          <rPr>
            <b/>
            <i/>
            <sz val="12"/>
            <color indexed="17"/>
            <rFont val="B Esfehan"/>
            <charset val="178"/>
          </rPr>
          <t xml:space="preserve">تعداد بازدید </t>
        </r>
      </text>
    </comment>
    <comment ref="B58" authorId="1" shapeId="0">
      <text>
        <r>
          <rPr>
            <b/>
            <i/>
            <sz val="12"/>
            <color indexed="17"/>
            <rFont val="B Esfehan"/>
            <charset val="178"/>
          </rPr>
          <t xml:space="preserve">تعداد بازدید </t>
        </r>
      </text>
    </comment>
    <comment ref="B59" authorId="1" shapeId="0">
      <text>
        <r>
          <rPr>
            <b/>
            <i/>
            <sz val="12"/>
            <color indexed="17"/>
            <rFont val="B Esfehan"/>
            <charset val="178"/>
          </rPr>
          <t xml:space="preserve">تعداد بازدید </t>
        </r>
      </text>
    </comment>
    <comment ref="B60" authorId="1" shapeId="0">
      <text>
        <r>
          <rPr>
            <b/>
            <i/>
            <sz val="12"/>
            <color indexed="17"/>
            <rFont val="B Esfehan"/>
            <charset val="178"/>
          </rPr>
          <t xml:space="preserve">تعداد بازدید </t>
        </r>
      </text>
    </comment>
    <comment ref="B61" authorId="1" shapeId="0">
      <text>
        <r>
          <rPr>
            <b/>
            <i/>
            <sz val="12"/>
            <color indexed="17"/>
            <rFont val="B Esfehan"/>
            <charset val="178"/>
          </rPr>
          <t xml:space="preserve">تعداد بازدید </t>
        </r>
      </text>
    </comment>
    <comment ref="B62" authorId="1" shapeId="0">
      <text>
        <r>
          <rPr>
            <b/>
            <i/>
            <sz val="12"/>
            <color indexed="17"/>
            <rFont val="B Esfehan"/>
            <charset val="178"/>
          </rPr>
          <t xml:space="preserve">تعداد صدور مجوز </t>
        </r>
      </text>
    </comment>
    <comment ref="B63" authorId="1" shapeId="0">
      <text>
        <r>
          <rPr>
            <b/>
            <i/>
            <sz val="12"/>
            <color indexed="17"/>
            <rFont val="B Esfehan"/>
            <charset val="178"/>
          </rPr>
          <t xml:space="preserve">تعداد صدور مجوز </t>
        </r>
      </text>
    </comment>
    <comment ref="B64" authorId="1" shapeId="0">
      <text>
        <r>
          <rPr>
            <b/>
            <i/>
            <sz val="12"/>
            <color indexed="17"/>
            <rFont val="B Esfehan"/>
            <charset val="178"/>
          </rPr>
          <t xml:space="preserve">تعداد تجديد/ تمديد مجوز  </t>
        </r>
      </text>
    </comment>
    <comment ref="B65" authorId="1" shapeId="0">
      <text>
        <r>
          <rPr>
            <b/>
            <i/>
            <sz val="12"/>
            <color indexed="17"/>
            <rFont val="B Esfehan"/>
            <charset val="178"/>
          </rPr>
          <t xml:space="preserve">تعداد بازدید </t>
        </r>
      </text>
    </comment>
    <comment ref="B66" authorId="1" shapeId="0">
      <text>
        <r>
          <rPr>
            <b/>
            <i/>
            <sz val="12"/>
            <color indexed="17"/>
            <rFont val="B Esfehan"/>
            <charset val="178"/>
          </rPr>
          <t xml:space="preserve">تعداد پلمپ </t>
        </r>
      </text>
    </comment>
    <comment ref="B67" authorId="1" shapeId="0">
      <text>
        <r>
          <rPr>
            <b/>
            <i/>
            <sz val="12"/>
            <color indexed="17"/>
            <rFont val="B Esfehan"/>
            <charset val="178"/>
          </rPr>
          <t xml:space="preserve">تعداد فک پلمپ </t>
        </r>
      </text>
    </comment>
    <comment ref="B68" authorId="1" shapeId="0">
      <text>
        <r>
          <rPr>
            <b/>
            <i/>
            <sz val="12"/>
            <color indexed="17"/>
            <rFont val="B Esfehan"/>
            <charset val="178"/>
          </rPr>
          <t>تناژ امحاء شده</t>
        </r>
      </text>
    </comment>
    <comment ref="B69" authorId="1" shapeId="0">
      <text>
        <r>
          <rPr>
            <b/>
            <i/>
            <sz val="12"/>
            <color indexed="17"/>
            <rFont val="B Esfehan"/>
            <charset val="178"/>
          </rPr>
          <t xml:space="preserve">تعداد بازدید </t>
        </r>
      </text>
    </comment>
    <comment ref="B70" authorId="1" shapeId="0">
      <text>
        <r>
          <rPr>
            <b/>
            <i/>
            <sz val="12"/>
            <color indexed="17"/>
            <rFont val="B Esfehan"/>
            <charset val="178"/>
          </rPr>
          <t xml:space="preserve">تعداد بازدید </t>
        </r>
      </text>
    </comment>
    <comment ref="B71" authorId="1" shapeId="0">
      <text>
        <r>
          <rPr>
            <b/>
            <i/>
            <sz val="12"/>
            <color indexed="17"/>
            <rFont val="B Esfehan"/>
            <charset val="178"/>
          </rPr>
          <t xml:space="preserve">تعداد بازدید </t>
        </r>
      </text>
    </comment>
    <comment ref="B72" authorId="1" shapeId="0">
      <text>
        <r>
          <rPr>
            <b/>
            <i/>
            <sz val="12"/>
            <color indexed="17"/>
            <rFont val="B Esfehan"/>
            <charset val="178"/>
          </rPr>
          <t>تعداد پرونده</t>
        </r>
      </text>
    </comment>
    <comment ref="A73" authorId="1" shapeId="0">
      <text>
        <r>
          <rPr>
            <b/>
            <i/>
            <sz val="12"/>
            <color indexed="17"/>
            <rFont val="B Esfehan"/>
            <charset val="178"/>
          </rPr>
          <t xml:space="preserve">از آنجایی که فعالیت ها در یک عملیات از نظر نوع، زمانبری، تعداد و مهارت کارکنان ، حجم آن فعالیت و ... متفاوت می باشند لاجرم نیاز به همسان سازی فعالیت ها و محاسبه ارزش وزنی واحد برای آن ها هستیم که به آن کمیت سنجه عملکرد همسان شده می گویند و عنوان سنجه عملکرد آن معمولاً واحد فعالیتی است که از ارزش وزنی بالاتری برخوردار است یا بهترین معرف برای عملیات است و شاخص سنجه عماکرد نیز ارزش وزنی واحد آن فعالیت می باشد.    </t>
        </r>
      </text>
    </comment>
  </commentList>
</comments>
</file>

<file path=xl/comments17.xml><?xml version="1.0" encoding="utf-8"?>
<comments xmlns="http://schemas.openxmlformats.org/spreadsheetml/2006/main">
  <authors>
    <author>Dr faraji</author>
    <author>Ali Akbar Faraji</author>
  </authors>
  <commentList>
    <comment ref="B2" authorId="0" shapeId="0">
      <text>
        <r>
          <rPr>
            <b/>
            <sz val="12"/>
            <color indexed="17"/>
            <rFont val="B Esfehan"/>
            <charset val="178"/>
          </rPr>
          <t xml:space="preserve">لطفاً فقط ستون حجم عمليات بخش دولتی را در صورتي كه استان واجد عمليات مرتبط با هدف  (صدور کد IR و EC و ...) مي باشد تكميل نماييد. </t>
        </r>
      </text>
    </comment>
    <comment ref="B4" authorId="1" shapeId="0">
      <text>
        <r>
          <rPr>
            <b/>
            <i/>
            <sz val="12"/>
            <color indexed="17"/>
            <rFont val="B Esfehan"/>
            <charset val="178"/>
          </rPr>
          <t xml:space="preserve">تعداد بازدید </t>
        </r>
      </text>
    </comment>
    <comment ref="B5" authorId="1" shapeId="0">
      <text>
        <r>
          <rPr>
            <b/>
            <i/>
            <sz val="12"/>
            <color indexed="17"/>
            <rFont val="B Esfehan"/>
            <charset val="178"/>
          </rPr>
          <t xml:space="preserve">تعداد بازدید </t>
        </r>
      </text>
    </comment>
    <comment ref="B6" authorId="1" shapeId="0">
      <text>
        <r>
          <rPr>
            <b/>
            <i/>
            <sz val="12"/>
            <color indexed="17"/>
            <rFont val="B Esfehan"/>
            <charset val="178"/>
          </rPr>
          <t xml:space="preserve">تعداد بازدید </t>
        </r>
      </text>
    </comment>
    <comment ref="B7" authorId="1" shapeId="0">
      <text>
        <r>
          <rPr>
            <b/>
            <i/>
            <sz val="12"/>
            <color indexed="17"/>
            <rFont val="B Esfehan"/>
            <charset val="178"/>
          </rPr>
          <t xml:space="preserve">تعداد بازدید </t>
        </r>
      </text>
    </comment>
    <comment ref="B8" authorId="1" shapeId="0">
      <text>
        <r>
          <rPr>
            <b/>
            <i/>
            <sz val="12"/>
            <color indexed="17"/>
            <rFont val="B Esfehan"/>
            <charset val="178"/>
          </rPr>
          <t xml:space="preserve">تعداد صدور کد </t>
        </r>
      </text>
    </comment>
    <comment ref="B9" authorId="1" shapeId="0">
      <text>
        <r>
          <rPr>
            <b/>
            <i/>
            <sz val="12"/>
            <color indexed="17"/>
            <rFont val="B Esfehan"/>
            <charset val="178"/>
          </rPr>
          <t xml:space="preserve">تعداد صدور کد </t>
        </r>
      </text>
    </comment>
    <comment ref="B10" authorId="1" shapeId="0">
      <text>
        <r>
          <rPr>
            <b/>
            <i/>
            <sz val="12"/>
            <color indexed="17"/>
            <rFont val="B Esfehan"/>
            <charset val="178"/>
          </rPr>
          <t xml:space="preserve">تعداد صدور کد </t>
        </r>
      </text>
    </comment>
    <comment ref="B11" authorId="1" shapeId="0">
      <text>
        <r>
          <rPr>
            <b/>
            <i/>
            <sz val="12"/>
            <color indexed="17"/>
            <rFont val="B Esfehan"/>
            <charset val="178"/>
          </rPr>
          <t xml:space="preserve">تعداد صدور کد </t>
        </r>
      </text>
    </comment>
    <comment ref="B12" authorId="1" shapeId="0">
      <text>
        <r>
          <rPr>
            <b/>
            <i/>
            <sz val="12"/>
            <color indexed="17"/>
            <rFont val="B Esfehan"/>
            <charset val="178"/>
          </rPr>
          <t>تعداد نمونه های سرمی اخذ شده و تحویل داده شده جهت بررسی های آزمایشگاهی
(بعبارتی نمونه های گرفته شده توسط اکیپ جهت آزمایش)</t>
        </r>
      </text>
    </comment>
    <comment ref="B13" authorId="1" shapeId="0">
      <text>
        <r>
          <rPr>
            <b/>
            <i/>
            <sz val="12"/>
            <color indexed="17"/>
            <rFont val="B Esfehan"/>
            <charset val="178"/>
          </rPr>
          <t>تعداد نمونه های بافتی اخذ شده و تحویل داده شده جهت بررسی های آزمایشگاهی
(بعبارتی نمونه های گرفته شده توسط اکیپ جهت آزمایش)</t>
        </r>
      </text>
    </comment>
    <comment ref="B14" authorId="1" shapeId="0">
      <text>
        <r>
          <rPr>
            <b/>
            <i/>
            <sz val="12"/>
            <color indexed="17"/>
            <rFont val="B Esfehan"/>
            <charset val="178"/>
          </rPr>
          <t>تعداد نمونه های "نهاده" اخذ شده و تحویل داده شده جهت بررسی های آزمایشگاهی
(بعبارتی نمونه های گرفته شده توسط اکیپ جهت آزمایش)</t>
        </r>
      </text>
    </comment>
    <comment ref="B15" authorId="1" shapeId="0">
      <text>
        <r>
          <rPr>
            <b/>
            <i/>
            <sz val="12"/>
            <color indexed="17"/>
            <rFont val="B Esfehan"/>
            <charset val="178"/>
          </rPr>
          <t xml:space="preserve">تعداد بازدید </t>
        </r>
      </text>
    </comment>
    <comment ref="B16" authorId="1" shapeId="0">
      <text>
        <r>
          <rPr>
            <b/>
            <i/>
            <sz val="12"/>
            <color indexed="17"/>
            <rFont val="B Esfehan"/>
            <charset val="178"/>
          </rPr>
          <t xml:space="preserve">تعداد بازدید </t>
        </r>
      </text>
    </comment>
    <comment ref="B17" authorId="1" shapeId="0">
      <text>
        <r>
          <rPr>
            <b/>
            <i/>
            <sz val="12"/>
            <color indexed="17"/>
            <rFont val="B Esfehan"/>
            <charset val="178"/>
          </rPr>
          <t xml:space="preserve">تعداد بازدید </t>
        </r>
      </text>
    </comment>
    <comment ref="B18" authorId="1" shapeId="0">
      <text>
        <r>
          <rPr>
            <b/>
            <i/>
            <sz val="12"/>
            <color indexed="17"/>
            <rFont val="B Esfehan"/>
            <charset val="178"/>
          </rPr>
          <t xml:space="preserve">تعداد بازدید </t>
        </r>
      </text>
    </comment>
    <comment ref="A19" authorId="1" shapeId="0">
      <text>
        <r>
          <rPr>
            <b/>
            <i/>
            <sz val="12"/>
            <color indexed="17"/>
            <rFont val="B Esfehan"/>
            <charset val="178"/>
          </rPr>
          <t xml:space="preserve">از آنجایی که فعالیت ها در یک عملیات از نظر نوع، زمانبری، تعداد و مهارت کارکنان ، حجم آن فعالیت و ... متفاوت می باشند لاجرم نیاز به همسان سازی فعالیت ها و محاسبه ارزش وزنی واحد برای آن ها هستیم که به آن کمیت سنجه عملکرد همسان شده می گویند و عنوان سنجه عملکرد آن معمولاً واحد فعالیتی است که از ارزش وزنی بالاتری برخوردار است یا بهترین معرف برای عملیات است و شاخص سنجه عماکرد نیز ارزش وزنی واحد آن فعالیت می باشد.    </t>
        </r>
      </text>
    </comment>
  </commentList>
</comments>
</file>

<file path=xl/comments18.xml><?xml version="1.0" encoding="utf-8"?>
<comments xmlns="http://schemas.openxmlformats.org/spreadsheetml/2006/main">
  <authors>
    <author>Ali Akbar Faraji</author>
  </authors>
  <commentList>
    <comment ref="C2" authorId="0" shapeId="0">
      <text>
        <r>
          <rPr>
            <b/>
            <i/>
            <sz val="12"/>
            <color indexed="17"/>
            <rFont val="B Esfehan"/>
            <charset val="178"/>
          </rPr>
          <t>لطفاً تعداد کل صدور کد IR و EC و … در استان را درج نمایید</t>
        </r>
      </text>
    </comment>
  </commentList>
</comments>
</file>

<file path=xl/comments19.xml><?xml version="1.0" encoding="utf-8"?>
<comments xmlns="http://schemas.openxmlformats.org/spreadsheetml/2006/main">
  <authors>
    <author>Dr faraji</author>
    <author>Ali Akbar Faraji</author>
  </authors>
  <commentList>
    <comment ref="B2" authorId="0" shapeId="0">
      <text>
        <r>
          <rPr>
            <b/>
            <sz val="12"/>
            <color indexed="17"/>
            <rFont val="B Esfehan"/>
            <charset val="178"/>
          </rPr>
          <t xml:space="preserve">لطفاً فقط ستون حجم عمليات بخش دولتی و خصوصی را در صورتي كه استان واجد عمليات مرتبط با هدف ( افزايش تعداد واحدهاي داراي رتبه A ) مي باشد تكميل نماييد. </t>
        </r>
      </text>
    </comment>
    <comment ref="B4" authorId="1" shapeId="0">
      <text>
        <r>
          <rPr>
            <b/>
            <i/>
            <sz val="12"/>
            <color indexed="17"/>
            <rFont val="B Esfehan"/>
            <charset val="178"/>
          </rPr>
          <t xml:space="preserve">تعداد بازدید </t>
        </r>
      </text>
    </comment>
    <comment ref="B5" authorId="1" shapeId="0">
      <text>
        <r>
          <rPr>
            <b/>
            <i/>
            <sz val="12"/>
            <color indexed="17"/>
            <rFont val="B Esfehan"/>
            <charset val="178"/>
          </rPr>
          <t xml:space="preserve">تعداد بازدید </t>
        </r>
      </text>
    </comment>
    <comment ref="B6" authorId="1" shapeId="0">
      <text>
        <r>
          <rPr>
            <b/>
            <i/>
            <sz val="12"/>
            <color indexed="17"/>
            <rFont val="B Esfehan"/>
            <charset val="178"/>
          </rPr>
          <t xml:space="preserve">تعداد بازدید </t>
        </r>
      </text>
    </comment>
    <comment ref="B7" authorId="1" shapeId="0">
      <text>
        <r>
          <rPr>
            <b/>
            <i/>
            <sz val="12"/>
            <color indexed="17"/>
            <rFont val="B Esfehan"/>
            <charset val="178"/>
          </rPr>
          <t xml:space="preserve">تعداد بازدید </t>
        </r>
      </text>
    </comment>
    <comment ref="B8" authorId="1" shapeId="0">
      <text>
        <r>
          <rPr>
            <b/>
            <i/>
            <sz val="12"/>
            <color indexed="17"/>
            <rFont val="B Esfehan"/>
            <charset val="178"/>
          </rPr>
          <t xml:space="preserve">تعداد بازدید جهت اخذ نمونه </t>
        </r>
      </text>
    </comment>
    <comment ref="B9" authorId="1" shapeId="0">
      <text>
        <r>
          <rPr>
            <b/>
            <i/>
            <sz val="12"/>
            <color indexed="17"/>
            <rFont val="B Esfehan"/>
            <charset val="178"/>
          </rPr>
          <t xml:space="preserve">تعداد گواهی </t>
        </r>
      </text>
    </comment>
    <comment ref="B10" authorId="1" shapeId="0">
      <text>
        <r>
          <rPr>
            <b/>
            <i/>
            <sz val="12"/>
            <color indexed="17"/>
            <rFont val="B Esfehan"/>
            <charset val="178"/>
          </rPr>
          <t xml:space="preserve">تعداد گواهی </t>
        </r>
      </text>
    </comment>
    <comment ref="B11" authorId="1" shapeId="0">
      <text>
        <r>
          <rPr>
            <b/>
            <i/>
            <sz val="12"/>
            <color indexed="17"/>
            <rFont val="B Esfehan"/>
            <charset val="178"/>
          </rPr>
          <t xml:space="preserve">تعداد گواهی </t>
        </r>
      </text>
    </comment>
    <comment ref="B12" authorId="1" shapeId="0">
      <text>
        <r>
          <rPr>
            <b/>
            <i/>
            <sz val="12"/>
            <color indexed="17"/>
            <rFont val="B Esfehan"/>
            <charset val="178"/>
          </rPr>
          <t xml:space="preserve">تعداد گواهی </t>
        </r>
      </text>
    </comment>
    <comment ref="B13" authorId="1" shapeId="0">
      <text>
        <r>
          <rPr>
            <b/>
            <i/>
            <sz val="12"/>
            <color indexed="17"/>
            <rFont val="B Esfehan"/>
            <charset val="178"/>
          </rPr>
          <t>تعداد نمونه های سرمی اخذ شده و تحویل داده شده جهت بررسی های آزمایشگاهی
(بعبارتی نمونه های گرفته شده توسط اکیپ جهت آزمایش)</t>
        </r>
      </text>
    </comment>
    <comment ref="B14" authorId="1" shapeId="0">
      <text>
        <r>
          <rPr>
            <b/>
            <i/>
            <sz val="12"/>
            <color indexed="17"/>
            <rFont val="B Esfehan"/>
            <charset val="178"/>
          </rPr>
          <t>تعداد نمونه های بافتی اخذ شده و تحویل داده شده جهت بررسی های آزمایشگاهی
(بعبارتی نمونه های گرفته شده توسط اکیپ جهت آزمایش)</t>
        </r>
      </text>
    </comment>
    <comment ref="B15" authorId="1" shapeId="0">
      <text>
        <r>
          <rPr>
            <b/>
            <i/>
            <sz val="12"/>
            <color indexed="17"/>
            <rFont val="B Esfehan"/>
            <charset val="178"/>
          </rPr>
          <t>تعداد نمونه های "نهاده" اخذ شده و تحویل داده شده جهت بررسی های آزمایشگاهی
(بعبارتی نمونه های گرفته شده توسط اکیپ جهت آزمایش)</t>
        </r>
      </text>
    </comment>
    <comment ref="B16" authorId="1" shapeId="0">
      <text>
        <r>
          <rPr>
            <b/>
            <i/>
            <sz val="12"/>
            <color indexed="17"/>
            <rFont val="B Esfehan"/>
            <charset val="178"/>
          </rPr>
          <t xml:space="preserve">تعداد بولتن </t>
        </r>
      </text>
    </comment>
    <comment ref="A17" authorId="1" shapeId="0">
      <text>
        <r>
          <rPr>
            <b/>
            <i/>
            <sz val="12"/>
            <color indexed="17"/>
            <rFont val="B Esfehan"/>
            <charset val="178"/>
          </rPr>
          <t xml:space="preserve">از آنجایی که فعالیت ها در یک عملیات از نظر نوع، زمانبری، تعداد و مهارت کارکنان ، حجم آن فعالیت و ... متفاوت می باشند لاجرم نیاز به همسان سازی فعالیت ها و محاسبه ارزش وزنی واحد برای آن ها هستیم که به آن کمیت سنجه عملکرد همسان شده می گویند و عنوان سنجه عملکرد آن معمولاً واحد فعالیتی است که از ارزش وزنی بالاتری برخوردار است یا بهترین معرف برای عملیات است و شاخص سنجه عماکرد نیز ارزش وزنی واحد آن فعالیت می باشد.    </t>
        </r>
      </text>
    </comment>
  </commentList>
</comments>
</file>

<file path=xl/comments2.xml><?xml version="1.0" encoding="utf-8"?>
<comments xmlns="http://schemas.openxmlformats.org/spreadsheetml/2006/main">
  <authors>
    <author>Dr faraji</author>
    <author>Ali Akbar Faraji</author>
  </authors>
  <commentList>
    <comment ref="B2" authorId="0" shapeId="0">
      <text>
        <r>
          <rPr>
            <b/>
            <sz val="12"/>
            <color indexed="17"/>
            <rFont val="B Esfehan"/>
            <charset val="178"/>
          </rPr>
          <t>لطفاً فقط ستون حجم عمليات بخش دولتی و خصوصی را در صورتي كه استان واجد عمليات مي باشد تكميل نماييد.</t>
        </r>
      </text>
    </comment>
    <comment ref="B4" authorId="1" shapeId="0">
      <text>
        <r>
          <rPr>
            <b/>
            <i/>
            <sz val="12"/>
            <color indexed="17"/>
            <rFont val="B Esfehan"/>
            <charset val="178"/>
          </rPr>
          <t>راس</t>
        </r>
      </text>
    </comment>
    <comment ref="B5" authorId="1" shapeId="0">
      <text>
        <r>
          <rPr>
            <b/>
            <i/>
            <sz val="12"/>
            <color indexed="17"/>
            <rFont val="B Esfehan"/>
            <charset val="178"/>
          </rPr>
          <t>راس</t>
        </r>
      </text>
    </comment>
    <comment ref="B6" authorId="1" shapeId="0">
      <text>
        <r>
          <rPr>
            <b/>
            <i/>
            <sz val="12"/>
            <color indexed="17"/>
            <rFont val="B Esfehan"/>
            <charset val="178"/>
          </rPr>
          <t>راس</t>
        </r>
      </text>
    </comment>
    <comment ref="B7" authorId="1" shapeId="0">
      <text>
        <r>
          <rPr>
            <b/>
            <i/>
            <sz val="12"/>
            <color indexed="17"/>
            <rFont val="B Esfehan"/>
            <charset val="178"/>
          </rPr>
          <t>راس</t>
        </r>
      </text>
    </comment>
    <comment ref="B8" authorId="1" shapeId="0">
      <text>
        <r>
          <rPr>
            <b/>
            <i/>
            <sz val="12"/>
            <color indexed="17"/>
            <rFont val="B Esfehan"/>
            <charset val="178"/>
          </rPr>
          <t>قلاده/راس</t>
        </r>
      </text>
    </comment>
    <comment ref="B9" authorId="1" shapeId="0">
      <text>
        <r>
          <rPr>
            <b/>
            <i/>
            <sz val="12"/>
            <color indexed="17"/>
            <rFont val="B Esfehan"/>
            <charset val="178"/>
          </rPr>
          <t>قلاده</t>
        </r>
      </text>
    </comment>
    <comment ref="B10" authorId="1" shapeId="0">
      <text>
        <r>
          <rPr>
            <b/>
            <i/>
            <sz val="12"/>
            <color indexed="17"/>
            <rFont val="B Esfehan"/>
            <charset val="178"/>
          </rPr>
          <t xml:space="preserve">چند هزار دز در استان برای واکسیناسیون دام در این عملیات توزیع و مصرف شده است </t>
        </r>
      </text>
    </comment>
    <comment ref="B11" authorId="1" shapeId="0">
      <text>
        <r>
          <rPr>
            <b/>
            <i/>
            <sz val="12"/>
            <color indexed="17"/>
            <rFont val="B Esfehan"/>
            <charset val="178"/>
          </rPr>
          <t>نوبت سر</t>
        </r>
      </text>
    </comment>
    <comment ref="B12" authorId="1" shapeId="0">
      <text>
        <r>
          <rPr>
            <b/>
            <i/>
            <sz val="12"/>
            <color indexed="17"/>
            <rFont val="B Esfehan"/>
            <charset val="178"/>
          </rPr>
          <t>نوبت سر</t>
        </r>
      </text>
    </comment>
    <comment ref="B13" authorId="1" shapeId="0">
      <text>
        <r>
          <rPr>
            <b/>
            <i/>
            <sz val="12"/>
            <color indexed="17"/>
            <rFont val="B Esfehan"/>
            <charset val="178"/>
          </rPr>
          <t>نوبت سر</t>
        </r>
      </text>
    </comment>
    <comment ref="B14" authorId="1" shapeId="0">
      <text>
        <r>
          <rPr>
            <b/>
            <i/>
            <sz val="12"/>
            <color indexed="17"/>
            <rFont val="B Esfehan"/>
            <charset val="178"/>
          </rPr>
          <t>نوبت سر</t>
        </r>
      </text>
    </comment>
    <comment ref="B15" authorId="1" shapeId="0">
      <text>
        <r>
          <rPr>
            <b/>
            <i/>
            <sz val="12"/>
            <color indexed="17"/>
            <rFont val="B Esfehan"/>
            <charset val="178"/>
          </rPr>
          <t>نوبت سر</t>
        </r>
      </text>
    </comment>
    <comment ref="B16" authorId="1" shapeId="0">
      <text>
        <r>
          <rPr>
            <b/>
            <i/>
            <sz val="12"/>
            <color indexed="17"/>
            <rFont val="B Esfehan"/>
            <charset val="178"/>
          </rPr>
          <t>نوبت سر</t>
        </r>
      </text>
    </comment>
    <comment ref="B17" authorId="1" shapeId="0">
      <text>
        <r>
          <rPr>
            <b/>
            <i/>
            <sz val="12"/>
            <color indexed="17"/>
            <rFont val="B Esfehan"/>
            <charset val="178"/>
          </rPr>
          <t>راس</t>
        </r>
      </text>
    </comment>
    <comment ref="B18" authorId="1" shapeId="0">
      <text>
        <r>
          <rPr>
            <b/>
            <i/>
            <sz val="12"/>
            <color indexed="17"/>
            <rFont val="B Esfehan"/>
            <charset val="178"/>
          </rPr>
          <t>کانون</t>
        </r>
      </text>
    </comment>
    <comment ref="B19" authorId="1" shapeId="0">
      <text>
        <r>
          <rPr>
            <b/>
            <i/>
            <sz val="12"/>
            <color indexed="17"/>
            <rFont val="B Esfehan"/>
            <charset val="178"/>
          </rPr>
          <t>راس</t>
        </r>
      </text>
    </comment>
    <comment ref="B20" authorId="1" shapeId="0">
      <text>
        <r>
          <rPr>
            <b/>
            <i/>
            <sz val="12"/>
            <color indexed="17"/>
            <rFont val="B Esfehan"/>
            <charset val="178"/>
          </rPr>
          <t>راس</t>
        </r>
      </text>
    </comment>
    <comment ref="B21" authorId="1" shapeId="0">
      <text>
        <r>
          <rPr>
            <b/>
            <i/>
            <sz val="12"/>
            <color indexed="17"/>
            <rFont val="B Esfehan"/>
            <charset val="178"/>
          </rPr>
          <t>راس</t>
        </r>
      </text>
    </comment>
    <comment ref="B22" authorId="1" shapeId="0">
      <text>
        <r>
          <rPr>
            <b/>
            <i/>
            <sz val="12"/>
            <color indexed="17"/>
            <rFont val="B Esfehan"/>
            <charset val="178"/>
          </rPr>
          <t>قلاده/راس</t>
        </r>
      </text>
    </comment>
    <comment ref="B23" authorId="1" shapeId="0">
      <text>
        <r>
          <rPr>
            <b/>
            <i/>
            <sz val="12"/>
            <color indexed="17"/>
            <rFont val="B Esfehan"/>
            <charset val="178"/>
          </rPr>
          <t xml:space="preserve">چند هزار دز در استان   در این عملیات (سل، بروسلوز، مشمشه) توزیع و مصرف شده است </t>
        </r>
      </text>
    </comment>
    <comment ref="B24" authorId="1" shapeId="0">
      <text>
        <r>
          <rPr>
            <b/>
            <i/>
            <sz val="12"/>
            <color indexed="17"/>
            <rFont val="B Esfehan"/>
            <charset val="178"/>
          </rPr>
          <t>متر مربع</t>
        </r>
      </text>
    </comment>
    <comment ref="B25" authorId="1" shapeId="0">
      <text>
        <r>
          <rPr>
            <b/>
            <i/>
            <sz val="12"/>
            <color indexed="17"/>
            <rFont val="B Esfehan"/>
            <charset val="178"/>
          </rPr>
          <t>کانون</t>
        </r>
      </text>
    </comment>
    <comment ref="B26" authorId="1" shapeId="0">
      <text>
        <r>
          <rPr>
            <b/>
            <i/>
            <sz val="12"/>
            <color indexed="17"/>
            <rFont val="B Esfehan"/>
            <charset val="178"/>
          </rPr>
          <t>تناژ نهاده های ضدعفونی شده</t>
        </r>
      </text>
    </comment>
    <comment ref="B27" authorId="1" shapeId="0">
      <text>
        <r>
          <rPr>
            <b/>
            <i/>
            <sz val="12"/>
            <color indexed="17"/>
            <rFont val="B Esfehan"/>
            <charset val="178"/>
          </rPr>
          <t>متر مربع</t>
        </r>
      </text>
    </comment>
    <comment ref="B28" authorId="1" shapeId="0">
      <text>
        <r>
          <rPr>
            <b/>
            <i/>
            <sz val="12"/>
            <color indexed="17"/>
            <rFont val="B Esfehan"/>
            <charset val="178"/>
          </rPr>
          <t>متر مربع</t>
        </r>
      </text>
    </comment>
    <comment ref="B29" authorId="1" shapeId="0">
      <text>
        <r>
          <rPr>
            <b/>
            <i/>
            <sz val="12"/>
            <color indexed="17"/>
            <rFont val="B Esfehan"/>
            <charset val="178"/>
          </rPr>
          <t>تعداد بازدید از دامداری، گله یا روستا جهت ارزیابی عملیات
 اکیپ ضد عفونی/ سمپاشی جایگاه دام</t>
        </r>
      </text>
    </comment>
    <comment ref="B30" authorId="1" shapeId="0">
      <text>
        <r>
          <rPr>
            <b/>
            <i/>
            <sz val="12"/>
            <color indexed="17"/>
            <rFont val="B Esfehan"/>
            <charset val="178"/>
          </rPr>
          <t xml:space="preserve">چند لیتر سم  در استان برای این عملیات توزیع و مصرف شده است </t>
        </r>
      </text>
    </comment>
    <comment ref="B31" authorId="1" shapeId="0">
      <text>
        <r>
          <rPr>
            <b/>
            <i/>
            <sz val="12"/>
            <color indexed="17"/>
            <rFont val="B Esfehan"/>
            <charset val="178"/>
          </rPr>
          <t xml:space="preserve">چند لیتر مواد ضدعفونی  در استان برای این عملیات توزیع و مصرف شده است </t>
        </r>
      </text>
    </comment>
    <comment ref="B32" authorId="1" shapeId="0">
      <text>
        <r>
          <rPr>
            <b/>
            <i/>
            <sz val="12"/>
            <color indexed="17"/>
            <rFont val="B Esfehan"/>
            <charset val="178"/>
          </rPr>
          <t>راس</t>
        </r>
      </text>
    </comment>
    <comment ref="B33" authorId="1" shapeId="0">
      <text>
        <r>
          <rPr>
            <b/>
            <i/>
            <sz val="12"/>
            <color indexed="17"/>
            <rFont val="B Esfehan"/>
            <charset val="178"/>
          </rPr>
          <t>راس</t>
        </r>
      </text>
    </comment>
    <comment ref="B34" authorId="1" shapeId="0">
      <text>
        <r>
          <rPr>
            <b/>
            <i/>
            <sz val="12"/>
            <color indexed="17"/>
            <rFont val="B Esfehan"/>
            <charset val="178"/>
          </rPr>
          <t>راس</t>
        </r>
      </text>
    </comment>
    <comment ref="B35" authorId="1" shapeId="0">
      <text>
        <r>
          <rPr>
            <b/>
            <i/>
            <sz val="12"/>
            <color indexed="17"/>
            <rFont val="B Esfehan"/>
            <charset val="178"/>
          </rPr>
          <t>تعداد بازدید از دامداری، گله یا روستا جهت ارزیابی
 عملیات اکیپ سمپاشی بدن دام</t>
        </r>
      </text>
    </comment>
    <comment ref="B36" authorId="1" shapeId="0">
      <text>
        <r>
          <rPr>
            <b/>
            <i/>
            <sz val="12"/>
            <color indexed="17"/>
            <rFont val="B Esfehan"/>
            <charset val="178"/>
          </rPr>
          <t xml:space="preserve">تعداد اعزام اکیپ جهت بررسی های اپیدمیولوژیک </t>
        </r>
      </text>
    </comment>
    <comment ref="B37" authorId="1" shapeId="0">
      <text>
        <r>
          <rPr>
            <b/>
            <i/>
            <sz val="12"/>
            <color indexed="17"/>
            <rFont val="B Esfehan"/>
            <charset val="178"/>
          </rPr>
          <t>تعداد نمونه های سرمی اخذ شده و تحویل داده شده جهت بررسی های آزمایشگاهی
(بعبارتی نمونه های گرفته شده توسط اکیپ جهت آزمایش)</t>
        </r>
      </text>
    </comment>
    <comment ref="B38" authorId="1" shapeId="0">
      <text>
        <r>
          <rPr>
            <b/>
            <i/>
            <sz val="12"/>
            <color indexed="17"/>
            <rFont val="B Esfehan"/>
            <charset val="178"/>
          </rPr>
          <t>تعداد نمونه های بافتی اخذ شده و تحویل داده شده جهت بررسی های آزمایشگاهی
(بعبارتی نمونه های گرفته شده توسط اکیپ جهت آزمایش)</t>
        </r>
      </text>
    </comment>
    <comment ref="B39" authorId="1" shapeId="0">
      <text>
        <r>
          <rPr>
            <b/>
            <i/>
            <sz val="12"/>
            <color indexed="17"/>
            <rFont val="B Esfehan"/>
            <charset val="178"/>
          </rPr>
          <t>تعداد بازدید نمونه برداری</t>
        </r>
      </text>
    </comment>
    <comment ref="B40" authorId="1" shapeId="0">
      <text>
        <r>
          <rPr>
            <b/>
            <i/>
            <sz val="12"/>
            <color indexed="17"/>
            <rFont val="B Esfehan"/>
            <charset val="178"/>
          </rPr>
          <t>تعداد بازدید از دامداری، گله یا روستا جهت
 ارزیابی عملیات واکسیناسیون</t>
        </r>
      </text>
    </comment>
    <comment ref="B41" authorId="1" shapeId="0">
      <text>
        <r>
          <rPr>
            <b/>
            <i/>
            <sz val="12"/>
            <color indexed="17"/>
            <rFont val="B Esfehan"/>
            <charset val="178"/>
          </rPr>
          <t>تعداد بازدید کارشناسی در خصوص امور بیمه</t>
        </r>
      </text>
    </comment>
    <comment ref="B42" authorId="1" shapeId="0">
      <text>
        <r>
          <rPr>
            <b/>
            <i/>
            <sz val="12"/>
            <color indexed="17"/>
            <rFont val="B Esfehan"/>
            <charset val="178"/>
          </rPr>
          <t>تعداد آزمایشات سرولوژیک خارج از آزمایشگاه</t>
        </r>
      </text>
    </comment>
    <comment ref="A43" authorId="1" shapeId="0">
      <text>
        <r>
          <rPr>
            <b/>
            <i/>
            <sz val="12"/>
            <color indexed="17"/>
            <rFont val="B Esfehan"/>
            <charset val="178"/>
          </rPr>
          <t xml:space="preserve">از آنجایی که فعالیت ها در یک عملیات از نظر نوع، زمانبری، تعداد و مهارت کارکنان ، حجم آن فعالیت و ... متفاوت می باشند لاجرم نیاز به همسان سازی فعالیت ها و محاسبه ارزش وزنی واحد برای آن ها هستیم که به آن کمیت سنجه عملکرد همسان شده می گویند و عنوان سنجه عملکرد آن معمولاً واحد فعالیتی است که از ارزش وزنی بالاتری برخوردار است یا بهترین معرف برای عملیات است و شاخص سنجه عماکرد نیز ارزش وزنی واحد آن فعالیت می باشد.    </t>
        </r>
      </text>
    </comment>
  </commentList>
</comments>
</file>

<file path=xl/comments20.xml><?xml version="1.0" encoding="utf-8"?>
<comments xmlns="http://schemas.openxmlformats.org/spreadsheetml/2006/main">
  <authors>
    <author>Dr faraji</author>
    <author>Ali Akbar Faraji</author>
  </authors>
  <commentList>
    <comment ref="B2" authorId="0" shapeId="0">
      <text>
        <r>
          <rPr>
            <b/>
            <sz val="12"/>
            <color indexed="17"/>
            <rFont val="B Esfehan"/>
            <charset val="178"/>
          </rPr>
          <t xml:space="preserve">لطفاً فقط ستون حجم عمليات بخش دولتی و خصوصی را در صورتي كه استان واجد عمليات مرتبط با هدف مي باشد تكميل نماييد. </t>
        </r>
      </text>
    </comment>
    <comment ref="B4" authorId="1" shapeId="0">
      <text>
        <r>
          <rPr>
            <b/>
            <i/>
            <sz val="12"/>
            <color indexed="17"/>
            <rFont val="B Esfehan"/>
            <charset val="178"/>
          </rPr>
          <t>نفر ساعت</t>
        </r>
      </text>
    </comment>
    <comment ref="B5" authorId="1" shapeId="0">
      <text>
        <r>
          <rPr>
            <b/>
            <i/>
            <sz val="12"/>
            <color indexed="17"/>
            <rFont val="B Esfehan"/>
            <charset val="178"/>
          </rPr>
          <t>نفر ساعت</t>
        </r>
      </text>
    </comment>
    <comment ref="B6" authorId="1" shapeId="0">
      <text>
        <r>
          <rPr>
            <b/>
            <i/>
            <sz val="12"/>
            <color indexed="17"/>
            <rFont val="B Esfehan"/>
            <charset val="178"/>
          </rPr>
          <t xml:space="preserve">بر حسب دقیقه </t>
        </r>
      </text>
    </comment>
    <comment ref="B7" authorId="1" shapeId="0">
      <text>
        <r>
          <rPr>
            <b/>
            <i/>
            <sz val="12"/>
            <color indexed="17"/>
            <rFont val="B Esfehan"/>
            <charset val="178"/>
          </rPr>
          <t>مورد تراکت (منظور تیراژ نیست)</t>
        </r>
      </text>
    </comment>
    <comment ref="B8" authorId="1" shapeId="0">
      <text>
        <r>
          <rPr>
            <b/>
            <i/>
            <sz val="12"/>
            <color indexed="17"/>
            <rFont val="B Esfehan"/>
            <charset val="178"/>
          </rPr>
          <t>تعداد گواهی صادره برای بهره وران/ ذينفعان (غیر دولتی)</t>
        </r>
      </text>
    </comment>
    <comment ref="A9" authorId="1" shapeId="0">
      <text>
        <r>
          <rPr>
            <b/>
            <i/>
            <sz val="12"/>
            <color indexed="17"/>
            <rFont val="B Esfehan"/>
            <charset val="178"/>
          </rPr>
          <t xml:space="preserve">از آنجایی که فعالیت ها در یک عملیات از نظر نوع، زمانبری، تعداد و مهارت کارکنان ، حجم آن فعالیت و ... متفاوت می باشند لاجرم نیاز به همسان سازی فعالیت ها و محاسبه ارزش وزنی واحد برای آن ها هستیم که به آن کمیت سنجه عملکرد همسان شده می گویند و عنوان سنجه عملکرد آن معمولاً واحد فعالیتی است که از ارزش وزنی بالاتری برخوردار است یا بهترین معرف برای عملیات است و شاخص سنجه عماکرد نیز ارزش وزنی واحد آن فعالیت می باشد.    </t>
        </r>
      </text>
    </comment>
  </commentList>
</comments>
</file>

<file path=xl/comments21.xml><?xml version="1.0" encoding="utf-8"?>
<comments xmlns="http://schemas.openxmlformats.org/spreadsheetml/2006/main">
  <authors>
    <author>Dr faraji</author>
    <author>Ali Akbar Faraji</author>
  </authors>
  <commentList>
    <comment ref="B2" authorId="0" shapeId="0">
      <text>
        <r>
          <rPr>
            <b/>
            <sz val="12"/>
            <color indexed="17"/>
            <rFont val="B Esfehan"/>
            <charset val="178"/>
          </rPr>
          <t xml:space="preserve">لطفاً فقط ستون حجم عمليات بخش دولتی و خصوصی را در صورتي كه استان واجد عمليات مرتبط با هدف مي باشد تكميل نماييد. </t>
        </r>
      </text>
    </comment>
    <comment ref="B4" authorId="1" shapeId="0">
      <text>
        <r>
          <rPr>
            <b/>
            <i/>
            <sz val="12"/>
            <color indexed="17"/>
            <rFont val="B Esfehan"/>
            <charset val="178"/>
          </rPr>
          <t>تعداد بازدید</t>
        </r>
      </text>
    </comment>
    <comment ref="B5" authorId="1" shapeId="0">
      <text>
        <r>
          <rPr>
            <b/>
            <i/>
            <sz val="12"/>
            <color indexed="17"/>
            <rFont val="B Esfehan"/>
            <charset val="178"/>
          </rPr>
          <t>تعداد بازدید</t>
        </r>
      </text>
    </comment>
    <comment ref="B6" authorId="1" shapeId="0">
      <text>
        <r>
          <rPr>
            <b/>
            <i/>
            <sz val="12"/>
            <color indexed="17"/>
            <rFont val="B Esfehan"/>
            <charset val="178"/>
          </rPr>
          <t>تعداد بازدید</t>
        </r>
      </text>
    </comment>
    <comment ref="B7" authorId="1" shapeId="0">
      <text>
        <r>
          <rPr>
            <b/>
            <i/>
            <sz val="12"/>
            <color indexed="17"/>
            <rFont val="B Esfehan"/>
            <charset val="178"/>
          </rPr>
          <t>تعداد بازدید</t>
        </r>
      </text>
    </comment>
    <comment ref="B8" authorId="1" shapeId="0">
      <text>
        <r>
          <rPr>
            <b/>
            <i/>
            <sz val="12"/>
            <color indexed="17"/>
            <rFont val="B Esfehan"/>
            <charset val="178"/>
          </rPr>
          <t>تعداد بازدید</t>
        </r>
      </text>
    </comment>
    <comment ref="B9" authorId="1" shapeId="0">
      <text>
        <r>
          <rPr>
            <b/>
            <i/>
            <sz val="12"/>
            <color indexed="17"/>
            <rFont val="B Esfehan"/>
            <charset val="178"/>
          </rPr>
          <t>تعداد بازدید</t>
        </r>
      </text>
    </comment>
    <comment ref="B10" authorId="1" shapeId="0">
      <text>
        <r>
          <rPr>
            <b/>
            <i/>
            <sz val="12"/>
            <color indexed="17"/>
            <rFont val="B Esfehan"/>
            <charset val="178"/>
          </rPr>
          <t>تعداد بازدید</t>
        </r>
      </text>
    </comment>
    <comment ref="B11" authorId="1" shapeId="0">
      <text>
        <r>
          <rPr>
            <b/>
            <i/>
            <sz val="12"/>
            <color indexed="17"/>
            <rFont val="B Esfehan"/>
            <charset val="178"/>
          </rPr>
          <t>تعداد مجوز</t>
        </r>
      </text>
    </comment>
    <comment ref="B12" authorId="1" shapeId="0">
      <text>
        <r>
          <rPr>
            <b/>
            <i/>
            <sz val="12"/>
            <color indexed="17"/>
            <rFont val="B Esfehan"/>
            <charset val="178"/>
          </rPr>
          <t>تعداد مجوز</t>
        </r>
      </text>
    </comment>
    <comment ref="B13" authorId="1" shapeId="0">
      <text>
        <r>
          <rPr>
            <b/>
            <i/>
            <sz val="12"/>
            <color indexed="17"/>
            <rFont val="B Esfehan"/>
            <charset val="178"/>
          </rPr>
          <t>تعداد مجوز</t>
        </r>
      </text>
    </comment>
    <comment ref="B14" authorId="1" shapeId="0">
      <text>
        <r>
          <rPr>
            <b/>
            <i/>
            <sz val="12"/>
            <color indexed="17"/>
            <rFont val="B Esfehan"/>
            <charset val="178"/>
          </rPr>
          <t>تعداد مجوز</t>
        </r>
      </text>
    </comment>
    <comment ref="B15" authorId="1" shapeId="0">
      <text>
        <r>
          <rPr>
            <b/>
            <i/>
            <sz val="12"/>
            <color indexed="17"/>
            <rFont val="B Esfehan"/>
            <charset val="178"/>
          </rPr>
          <t>تعداد مجوز</t>
        </r>
      </text>
    </comment>
    <comment ref="B16" authorId="1" shapeId="0">
      <text>
        <r>
          <rPr>
            <b/>
            <i/>
            <sz val="12"/>
            <color indexed="17"/>
            <rFont val="B Esfehan"/>
            <charset val="178"/>
          </rPr>
          <t>تعداد مجوز</t>
        </r>
      </text>
    </comment>
    <comment ref="B17" authorId="1" shapeId="0">
      <text>
        <r>
          <rPr>
            <b/>
            <i/>
            <sz val="12"/>
            <color indexed="17"/>
            <rFont val="B Esfehan"/>
            <charset val="178"/>
          </rPr>
          <t>تعداد مجوز</t>
        </r>
      </text>
    </comment>
    <comment ref="B18" authorId="1" shapeId="0">
      <text>
        <r>
          <rPr>
            <b/>
            <i/>
            <sz val="12"/>
            <color indexed="17"/>
            <rFont val="B Esfehan"/>
            <charset val="178"/>
          </rPr>
          <t>تعداد مجوز</t>
        </r>
      </text>
    </comment>
    <comment ref="B19" authorId="1" shapeId="0">
      <text>
        <r>
          <rPr>
            <b/>
            <i/>
            <sz val="12"/>
            <color indexed="17"/>
            <rFont val="B Esfehan"/>
            <charset val="178"/>
          </rPr>
          <t>تعداد مجوز</t>
        </r>
      </text>
    </comment>
    <comment ref="B20" authorId="1" shapeId="0">
      <text>
        <r>
          <rPr>
            <b/>
            <i/>
            <sz val="12"/>
            <color indexed="17"/>
            <rFont val="B Esfehan"/>
            <charset val="178"/>
          </rPr>
          <t>تعداد مجوز</t>
        </r>
      </text>
    </comment>
    <comment ref="B21" authorId="1" shapeId="0">
      <text>
        <r>
          <rPr>
            <b/>
            <i/>
            <sz val="12"/>
            <color indexed="17"/>
            <rFont val="B Esfehan"/>
            <charset val="178"/>
          </rPr>
          <t>تعداد مجوز</t>
        </r>
      </text>
    </comment>
    <comment ref="B22" authorId="1" shapeId="0">
      <text>
        <r>
          <rPr>
            <b/>
            <i/>
            <sz val="12"/>
            <color indexed="17"/>
            <rFont val="B Esfehan"/>
            <charset val="178"/>
          </rPr>
          <t>تعداد مجوز</t>
        </r>
      </text>
    </comment>
    <comment ref="B23" authorId="1" shapeId="0">
      <text>
        <r>
          <rPr>
            <b/>
            <i/>
            <sz val="12"/>
            <color indexed="17"/>
            <rFont val="B Esfehan"/>
            <charset val="178"/>
          </rPr>
          <t>تعداد مجوز</t>
        </r>
      </text>
    </comment>
    <comment ref="B24" authorId="1" shapeId="0">
      <text>
        <r>
          <rPr>
            <b/>
            <i/>
            <sz val="12"/>
            <color indexed="17"/>
            <rFont val="B Esfehan"/>
            <charset val="178"/>
          </rPr>
          <t>تعداد مجوز</t>
        </r>
      </text>
    </comment>
    <comment ref="B25" authorId="1" shapeId="0">
      <text>
        <r>
          <rPr>
            <b/>
            <i/>
            <sz val="12"/>
            <color indexed="17"/>
            <rFont val="B Esfehan"/>
            <charset val="178"/>
          </rPr>
          <t>تعداد بازدید</t>
        </r>
      </text>
    </comment>
    <comment ref="B26" authorId="1" shapeId="0">
      <text>
        <r>
          <rPr>
            <b/>
            <i/>
            <sz val="12"/>
            <color indexed="17"/>
            <rFont val="B Esfehan"/>
            <charset val="178"/>
          </rPr>
          <t>تعداد بازدید</t>
        </r>
      </text>
    </comment>
    <comment ref="B27" authorId="1" shapeId="0">
      <text>
        <r>
          <rPr>
            <b/>
            <i/>
            <sz val="12"/>
            <color indexed="17"/>
            <rFont val="B Esfehan"/>
            <charset val="178"/>
          </rPr>
          <t>تعداد بازدید</t>
        </r>
      </text>
    </comment>
    <comment ref="B28" authorId="1" shapeId="0">
      <text>
        <r>
          <rPr>
            <b/>
            <i/>
            <sz val="12"/>
            <color indexed="17"/>
            <rFont val="B Esfehan"/>
            <charset val="178"/>
          </rPr>
          <t>تعداد بازدید</t>
        </r>
      </text>
    </comment>
    <comment ref="B29" authorId="1" shapeId="0">
      <text>
        <r>
          <rPr>
            <b/>
            <i/>
            <sz val="12"/>
            <color indexed="17"/>
            <rFont val="B Esfehan"/>
            <charset val="178"/>
          </rPr>
          <t>تعداد بازدید</t>
        </r>
      </text>
    </comment>
    <comment ref="B30" authorId="1" shapeId="0">
      <text>
        <r>
          <rPr>
            <b/>
            <i/>
            <sz val="12"/>
            <color indexed="17"/>
            <rFont val="B Esfehan"/>
            <charset val="178"/>
          </rPr>
          <t>تعداد بازدید</t>
        </r>
      </text>
    </comment>
    <comment ref="B31" authorId="1" shapeId="0">
      <text>
        <r>
          <rPr>
            <b/>
            <i/>
            <sz val="12"/>
            <color indexed="17"/>
            <rFont val="B Esfehan"/>
            <charset val="178"/>
          </rPr>
          <t>تعداد بازدید</t>
        </r>
      </text>
    </comment>
    <comment ref="B32" authorId="1" shapeId="0">
      <text>
        <r>
          <rPr>
            <b/>
            <i/>
            <sz val="12"/>
            <color indexed="17"/>
            <rFont val="B Esfehan"/>
            <charset val="178"/>
          </rPr>
          <t>تعداد دریافت گزارش</t>
        </r>
      </text>
    </comment>
    <comment ref="A33" authorId="1" shapeId="0">
      <text>
        <r>
          <rPr>
            <b/>
            <i/>
            <sz val="12"/>
            <color indexed="17"/>
            <rFont val="B Esfehan"/>
            <charset val="178"/>
          </rPr>
          <t xml:space="preserve">از آنجایی که فعالیت ها در یک عملیات از نظر نوع، زمانبری، تعداد و مهارت کارکنان ، حجم آن فعالیت و ... متفاوت می باشند لاجرم نیاز به همسان سازی فعالیت ها و محاسبه ارزش وزنی واحد برای آن ها هستیم که به آن کمیت سنجه عملکرد همسان شده می گویند و عنوان سنجه عملکرد آن معمولاً واحد فعالیتی است که از ارزش وزنی بالاتری برخوردار است یا بهترین معرف برای عملیات است و شاخص سنجه عماکرد نیز ارزش وزنی واحد آن فعالیت می باشد.    </t>
        </r>
      </text>
    </comment>
  </commentList>
</comments>
</file>

<file path=xl/comments22.xml><?xml version="1.0" encoding="utf-8"?>
<comments xmlns="http://schemas.openxmlformats.org/spreadsheetml/2006/main">
  <authors>
    <author>Dr faraji</author>
  </authors>
  <commentList>
    <comment ref="B2" authorId="0" shapeId="0">
      <text>
        <r>
          <rPr>
            <sz val="18"/>
            <color indexed="81"/>
            <rFont val="B Mitra"/>
            <charset val="178"/>
          </rPr>
          <t>ردیف 1 تا انتهای سال 1395 فاقد عملیات می باشد</t>
        </r>
      </text>
    </comment>
    <comment ref="C3" authorId="0" shapeId="0">
      <text>
        <r>
          <rPr>
            <sz val="18"/>
            <color indexed="81"/>
            <rFont val="B Mitra"/>
            <charset val="178"/>
          </rPr>
          <t xml:space="preserve">تعداد پروانه های صادر شده در مناطق محروم و روستایی (مجموع جدید و قدیم) </t>
        </r>
      </text>
    </comment>
    <comment ref="C4" authorId="0" shapeId="0">
      <text>
        <r>
          <rPr>
            <sz val="18"/>
            <color indexed="81"/>
            <rFont val="B Mitra"/>
            <charset val="178"/>
          </rPr>
          <t xml:space="preserve">تعداد پروانه های خدمات پیشگیری، درمانی، تشخیصی صادر شده در استان (مجموع جدید و قدیم) </t>
        </r>
      </text>
    </comment>
  </commentList>
</comments>
</file>

<file path=xl/comments23.xml><?xml version="1.0" encoding="utf-8"?>
<comments xmlns="http://schemas.openxmlformats.org/spreadsheetml/2006/main">
  <authors>
    <author>Dr faraji</author>
    <author>Ali Akbar Faraji</author>
  </authors>
  <commentList>
    <comment ref="B2" authorId="0" shapeId="0">
      <text>
        <r>
          <rPr>
            <b/>
            <sz val="12"/>
            <color indexed="17"/>
            <rFont val="B Esfehan"/>
            <charset val="178"/>
          </rPr>
          <t xml:space="preserve">لطفاً فقط ستون حجم عمليات بخش دولتی و خصوصی را در صورتي كه استان واجد عمليات مرتبط با هدف مي باشد تكميل نماييد. </t>
        </r>
      </text>
    </comment>
    <comment ref="A22" authorId="1" shapeId="0">
      <text>
        <r>
          <rPr>
            <b/>
            <i/>
            <sz val="12"/>
            <color indexed="17"/>
            <rFont val="B Esfehan"/>
            <charset val="178"/>
          </rPr>
          <t xml:space="preserve">از آنجایی که فعالیت ها در یک عملیات از نظر نوع، زمانبری، تعداد و مهارت کارکنان ، حجم آن فعالیت و ... متفاوت می باشند لاجرم نیاز به همسان سازی فعالیت ها و محاسبه ارزش وزنی واحد برای آن ها هستیم که به آن کمیت سنجه عملکرد همسان شده می گویند و عنوان سنجه عملکرد آن معمولاً واحد فعالیتی است که از ارزش وزنی بالاتری برخوردار است یا بهترین معرف برای عملیات است و شاخص سنجه عماکرد نیز ارزش وزنی واحد آن فعالیت می باشد.    </t>
        </r>
      </text>
    </comment>
  </commentList>
</comments>
</file>

<file path=xl/comments3.xml><?xml version="1.0" encoding="utf-8"?>
<comments xmlns="http://schemas.openxmlformats.org/spreadsheetml/2006/main">
  <authors>
    <author>Ali Akbar Faraji</author>
  </authors>
  <commentList>
    <comment ref="C2" authorId="0" shapeId="0">
      <text>
        <r>
          <rPr>
            <b/>
            <i/>
            <sz val="12"/>
            <color indexed="17"/>
            <rFont val="B Esfehan"/>
            <charset val="178"/>
          </rPr>
          <t>بروز بیماری (کانون): صرفآ در دوره زمانی ارزیابی تعداد موارد جدید کانون های بیماری که تشخیص داده شده را ذکر نمائید.</t>
        </r>
      </text>
    </comment>
  </commentList>
</comments>
</file>

<file path=xl/comments4.xml><?xml version="1.0" encoding="utf-8"?>
<comments xmlns="http://schemas.openxmlformats.org/spreadsheetml/2006/main">
  <authors>
    <author>Dr faraji</author>
    <author>Ali Akbar Faraji</author>
  </authors>
  <commentList>
    <comment ref="B2" authorId="0" shapeId="0">
      <text>
        <r>
          <rPr>
            <b/>
            <sz val="12"/>
            <color indexed="17"/>
            <rFont val="B Esfehan"/>
            <charset val="178"/>
          </rPr>
          <t>لطفاً فقط ستون حجم عمليات بخش دولتی و خصوصی را در صورتي كه استان واجد عمليات مي باشد تكميل نماييد.</t>
        </r>
      </text>
    </comment>
    <comment ref="B4" authorId="1" shapeId="0">
      <text>
        <r>
          <rPr>
            <b/>
            <i/>
            <sz val="12"/>
            <color indexed="17"/>
            <rFont val="B Esfehan"/>
            <charset val="178"/>
          </rPr>
          <t>قطعه</t>
        </r>
      </text>
    </comment>
    <comment ref="B5" authorId="1" shapeId="0">
      <text>
        <r>
          <rPr>
            <b/>
            <i/>
            <sz val="12"/>
            <color indexed="17"/>
            <rFont val="B Esfehan"/>
            <charset val="178"/>
          </rPr>
          <t>تعداد بازدید از واحد جهت نمونه برداری آب و خوراک</t>
        </r>
      </text>
    </comment>
    <comment ref="B6" authorId="1" shapeId="0">
      <text>
        <r>
          <rPr>
            <b/>
            <i/>
            <sz val="12"/>
            <color indexed="17"/>
            <rFont val="B Esfehan"/>
            <charset val="178"/>
          </rPr>
          <t>تعداد بازدید از مرغداری، مراکز مایه کوبی جهت ارزیابی عملیات واکسیناسیون</t>
        </r>
      </text>
    </comment>
    <comment ref="B7" authorId="1" shapeId="0">
      <text>
        <r>
          <rPr>
            <b/>
            <i/>
            <sz val="12"/>
            <color indexed="17"/>
            <rFont val="B Esfehan"/>
            <charset val="178"/>
          </rPr>
          <t>تعداد بازدید از واحد جهت صدور مجوز جوجه ریزی</t>
        </r>
      </text>
    </comment>
    <comment ref="B8" authorId="1" shapeId="0">
      <text>
        <r>
          <rPr>
            <b/>
            <i/>
            <sz val="12"/>
            <color indexed="17"/>
            <rFont val="B Esfehan"/>
            <charset val="178"/>
          </rPr>
          <t>تعداد بازدید از واحد جهت صدور مجوز جوجه ریزی</t>
        </r>
      </text>
    </comment>
    <comment ref="B9" authorId="1" shapeId="0">
      <text>
        <r>
          <rPr>
            <b/>
            <i/>
            <sz val="12"/>
            <color indexed="17"/>
            <rFont val="B Esfehan"/>
            <charset val="178"/>
          </rPr>
          <t>تعداد بازدید از واحد جهت صدور مجوز جوجه ریزی</t>
        </r>
      </text>
    </comment>
    <comment ref="B10" authorId="1" shapeId="0">
      <text>
        <r>
          <rPr>
            <b/>
            <i/>
            <sz val="12"/>
            <color indexed="17"/>
            <rFont val="B Esfehan"/>
            <charset val="178"/>
          </rPr>
          <t>تعداد بازدید از واحد جهت صدور مجوز جوجه ریزی</t>
        </r>
      </text>
    </comment>
    <comment ref="B11" authorId="1" shapeId="0">
      <text>
        <r>
          <rPr>
            <b/>
            <i/>
            <sz val="12"/>
            <color indexed="17"/>
            <rFont val="B Esfehan"/>
            <charset val="178"/>
          </rPr>
          <t>تعداد بازدید از واحد جهت صدور مجوز جوجه ریزی</t>
        </r>
      </text>
    </comment>
    <comment ref="B12" authorId="1" shapeId="0">
      <text>
        <r>
          <rPr>
            <b/>
            <i/>
            <sz val="12"/>
            <color indexed="17"/>
            <rFont val="B Esfehan"/>
            <charset val="178"/>
          </rPr>
          <t>تعداد بازدید از واحد جهت صدور مجوز جوجه ریزی</t>
        </r>
      </text>
    </comment>
    <comment ref="B13" authorId="1" shapeId="0">
      <text>
        <r>
          <rPr>
            <b/>
            <i/>
            <sz val="12"/>
            <color indexed="17"/>
            <rFont val="B Esfehan"/>
            <charset val="178"/>
          </rPr>
          <t>تعداد بازدید از واحد جهت صدور مجوز جوجه ریزی</t>
        </r>
      </text>
    </comment>
    <comment ref="B14" authorId="1" shapeId="0">
      <text>
        <r>
          <rPr>
            <b/>
            <i/>
            <sz val="12"/>
            <color indexed="17"/>
            <rFont val="B Esfehan"/>
            <charset val="178"/>
          </rPr>
          <t>تعداد بازدید از واحد جهت صدور مجوز جوجه ریزی</t>
        </r>
      </text>
    </comment>
    <comment ref="B15" authorId="1" shapeId="0">
      <text>
        <r>
          <rPr>
            <b/>
            <i/>
            <sz val="12"/>
            <color indexed="17"/>
            <rFont val="B Esfehan"/>
            <charset val="178"/>
          </rPr>
          <t>تعداد بازدید از واحد جهت صدور مجوز جوجه ریزی</t>
        </r>
      </text>
    </comment>
    <comment ref="B16" authorId="1" shapeId="0">
      <text>
        <r>
          <rPr>
            <b/>
            <i/>
            <sz val="12"/>
            <color indexed="17"/>
            <rFont val="B Esfehan"/>
            <charset val="178"/>
          </rPr>
          <t>تعداد بازدید از واحد جهت اخذ نمونه</t>
        </r>
      </text>
    </comment>
    <comment ref="B17" authorId="1" shapeId="0">
      <text>
        <r>
          <rPr>
            <b/>
            <i/>
            <sz val="12"/>
            <color indexed="17"/>
            <rFont val="B Esfehan"/>
            <charset val="178"/>
          </rPr>
          <t>تعداد بازدید از واحد جهت اخذ نمونه</t>
        </r>
      </text>
    </comment>
    <comment ref="B18" authorId="1" shapeId="0">
      <text>
        <r>
          <rPr>
            <b/>
            <i/>
            <sz val="12"/>
            <color indexed="17"/>
            <rFont val="B Esfehan"/>
            <charset val="178"/>
          </rPr>
          <t>تعداد بازدید از واحد جهت اخذ نمونه</t>
        </r>
      </text>
    </comment>
    <comment ref="B19" authorId="1" shapeId="0">
      <text>
        <r>
          <rPr>
            <b/>
            <i/>
            <sz val="12"/>
            <color indexed="17"/>
            <rFont val="B Esfehan"/>
            <charset val="178"/>
          </rPr>
          <t>تعداد بازدید از واحد جهت اخذ نمونه</t>
        </r>
      </text>
    </comment>
    <comment ref="B20" authorId="1" shapeId="0">
      <text>
        <r>
          <rPr>
            <b/>
            <i/>
            <sz val="12"/>
            <color indexed="17"/>
            <rFont val="B Esfehan"/>
            <charset val="178"/>
          </rPr>
          <t>تعداد بازدید از واحد جهت اخذ نمونه</t>
        </r>
      </text>
    </comment>
    <comment ref="B21" authorId="1" shapeId="0">
      <text>
        <r>
          <rPr>
            <b/>
            <i/>
            <sz val="12"/>
            <color indexed="17"/>
            <rFont val="B Esfehan"/>
            <charset val="178"/>
          </rPr>
          <t>تعداد بازدید از واحد جهت اخذ نمونه</t>
        </r>
      </text>
    </comment>
    <comment ref="B22" authorId="1" shapeId="0">
      <text>
        <r>
          <rPr>
            <b/>
            <i/>
            <sz val="12"/>
            <color indexed="17"/>
            <rFont val="B Esfehan"/>
            <charset val="178"/>
          </rPr>
          <t>تعداد بازدید از واحد جهت اخذ نمونه</t>
        </r>
      </text>
    </comment>
    <comment ref="B23" authorId="1" shapeId="0">
      <text>
        <r>
          <rPr>
            <b/>
            <i/>
            <sz val="12"/>
            <color indexed="17"/>
            <rFont val="B Esfehan"/>
            <charset val="178"/>
          </rPr>
          <t>تعداد بازدید از واحد جهت اخذ نمونه</t>
        </r>
      </text>
    </comment>
    <comment ref="B24" authorId="1" shapeId="0">
      <text>
        <r>
          <rPr>
            <b/>
            <i/>
            <sz val="12"/>
            <color indexed="17"/>
            <rFont val="B Esfehan"/>
            <charset val="178"/>
          </rPr>
          <t>تعداد بازدید از واحد جهت اخذ نمونه</t>
        </r>
      </text>
    </comment>
    <comment ref="B25" authorId="1" shapeId="0">
      <text>
        <r>
          <rPr>
            <b/>
            <i/>
            <sz val="12"/>
            <color indexed="17"/>
            <rFont val="B Esfehan"/>
            <charset val="178"/>
          </rPr>
          <t xml:space="preserve">تعداد بازدید از واحد جهت اخذ نمونه </t>
        </r>
      </text>
    </comment>
    <comment ref="B26" authorId="1" shapeId="0">
      <text>
        <r>
          <rPr>
            <b/>
            <i/>
            <sz val="12"/>
            <color indexed="17"/>
            <rFont val="B Esfehan"/>
            <charset val="178"/>
          </rPr>
          <t>تعداد بازدید از واحد روستایی جهت اخذ نمونه</t>
        </r>
      </text>
    </comment>
    <comment ref="B27" authorId="1" shapeId="0">
      <text>
        <r>
          <rPr>
            <b/>
            <i/>
            <sz val="12"/>
            <color indexed="17"/>
            <rFont val="B Esfehan"/>
            <charset val="178"/>
          </rPr>
          <t>تعداد بازدید از تالاب ها و زیستگاه ها جهت اخذ نمونه</t>
        </r>
      </text>
    </comment>
    <comment ref="B28" authorId="1" shapeId="0">
      <text>
        <r>
          <rPr>
            <b/>
            <i/>
            <sz val="12"/>
            <color indexed="17"/>
            <rFont val="B Esfehan"/>
            <charset val="178"/>
          </rPr>
          <t>تعداد بازدید از كارخانجات جوجه كشي جهت اخذ نمونه</t>
        </r>
      </text>
    </comment>
    <comment ref="B29" authorId="1" shapeId="0">
      <text>
        <r>
          <rPr>
            <b/>
            <i/>
            <sz val="12"/>
            <color indexed="17"/>
            <rFont val="B Esfehan"/>
            <charset val="178"/>
          </rPr>
          <t>تعداد بازدید از ساير گله هاي طيور صنعتی ( اردك و ... ) جهت اخذ نمونه</t>
        </r>
      </text>
    </comment>
    <comment ref="B30" authorId="1" shapeId="0">
      <text>
        <r>
          <rPr>
            <b/>
            <i/>
            <sz val="12"/>
            <color indexed="17"/>
            <rFont val="B Esfehan"/>
            <charset val="178"/>
          </rPr>
          <t xml:space="preserve">تعداد بازدید از واحد </t>
        </r>
      </text>
    </comment>
    <comment ref="B31" authorId="1" shapeId="0">
      <text>
        <r>
          <rPr>
            <b/>
            <i/>
            <sz val="12"/>
            <color indexed="17"/>
            <rFont val="B Esfehan"/>
            <charset val="178"/>
          </rPr>
          <t xml:space="preserve">تعداد بازدید از واحد </t>
        </r>
      </text>
    </comment>
    <comment ref="B32" authorId="1" shapeId="0">
      <text>
        <r>
          <rPr>
            <b/>
            <i/>
            <sz val="12"/>
            <color indexed="17"/>
            <rFont val="B Esfehan"/>
            <charset val="178"/>
          </rPr>
          <t xml:space="preserve">تعداد بازدید از واحد </t>
        </r>
      </text>
    </comment>
    <comment ref="B33" authorId="1" shapeId="0">
      <text>
        <r>
          <rPr>
            <b/>
            <i/>
            <sz val="12"/>
            <color indexed="17"/>
            <rFont val="B Esfehan"/>
            <charset val="178"/>
          </rPr>
          <t xml:space="preserve">تعداد بازدید از واحد </t>
        </r>
      </text>
    </comment>
    <comment ref="B34" authorId="1" shapeId="0">
      <text>
        <r>
          <rPr>
            <b/>
            <i/>
            <sz val="12"/>
            <color indexed="17"/>
            <rFont val="B Esfehan"/>
            <charset val="178"/>
          </rPr>
          <t>تعداد بازدید کارشناسی در خصوص امور بیمه</t>
        </r>
      </text>
    </comment>
    <comment ref="B35" authorId="1" shapeId="0">
      <text>
        <r>
          <rPr>
            <b/>
            <i/>
            <sz val="12"/>
            <color indexed="17"/>
            <rFont val="B Esfehan"/>
            <charset val="178"/>
          </rPr>
          <t>تعداد کانون آلوده</t>
        </r>
      </text>
    </comment>
    <comment ref="B36" authorId="1" shapeId="0">
      <text>
        <r>
          <rPr>
            <b/>
            <i/>
            <sz val="12"/>
            <color indexed="17"/>
            <rFont val="B Esfehan"/>
            <charset val="178"/>
          </rPr>
          <t>تعداد کانون آلوده</t>
        </r>
      </text>
    </comment>
    <comment ref="B37" authorId="1" shapeId="0">
      <text>
        <r>
          <rPr>
            <b/>
            <i/>
            <sz val="12"/>
            <color indexed="17"/>
            <rFont val="B Esfehan"/>
            <charset val="178"/>
          </rPr>
          <t>تعداد کانون آلوده</t>
        </r>
      </text>
    </comment>
    <comment ref="B38" authorId="1" shapeId="0">
      <text>
        <r>
          <rPr>
            <b/>
            <i/>
            <sz val="12"/>
            <color indexed="17"/>
            <rFont val="B Esfehan"/>
            <charset val="178"/>
          </rPr>
          <t>تعداد کانون آلوده</t>
        </r>
      </text>
    </comment>
    <comment ref="B39" authorId="1" shapeId="0">
      <text>
        <r>
          <rPr>
            <b/>
            <i/>
            <sz val="12"/>
            <color indexed="17"/>
            <rFont val="B Esfehan"/>
            <charset val="178"/>
          </rPr>
          <t>تعداد کانون آلوده</t>
        </r>
      </text>
    </comment>
    <comment ref="B40" authorId="1" shapeId="0">
      <text>
        <r>
          <rPr>
            <b/>
            <i/>
            <sz val="12"/>
            <color indexed="17"/>
            <rFont val="B Esfehan"/>
            <charset val="178"/>
          </rPr>
          <t>تعداد کانون آلوده</t>
        </r>
      </text>
    </comment>
    <comment ref="B41" authorId="1" shapeId="0">
      <text>
        <r>
          <rPr>
            <b/>
            <i/>
            <sz val="12"/>
            <color indexed="17"/>
            <rFont val="B Esfehan"/>
            <charset val="178"/>
          </rPr>
          <t>تعداد کانون آلوده</t>
        </r>
      </text>
    </comment>
    <comment ref="B42" authorId="1" shapeId="0">
      <text>
        <r>
          <rPr>
            <b/>
            <i/>
            <sz val="12"/>
            <color indexed="17"/>
            <rFont val="B Esfehan"/>
            <charset val="178"/>
          </rPr>
          <t>تعداد کانون آلوده</t>
        </r>
      </text>
    </comment>
    <comment ref="B43" authorId="1" shapeId="0">
      <text>
        <r>
          <rPr>
            <b/>
            <i/>
            <sz val="12"/>
            <color indexed="17"/>
            <rFont val="B Esfehan"/>
            <charset val="178"/>
          </rPr>
          <t>تعداد کانون آلوده</t>
        </r>
      </text>
    </comment>
    <comment ref="B44" authorId="1" shapeId="0">
      <text>
        <r>
          <rPr>
            <b/>
            <i/>
            <sz val="12"/>
            <color indexed="17"/>
            <rFont val="B Esfehan"/>
            <charset val="178"/>
          </rPr>
          <t>تعداد کانون آلوده</t>
        </r>
      </text>
    </comment>
    <comment ref="B45" authorId="1" shapeId="0">
      <text>
        <r>
          <rPr>
            <b/>
            <i/>
            <sz val="12"/>
            <color indexed="17"/>
            <rFont val="B Esfehan"/>
            <charset val="178"/>
          </rPr>
          <t>تعداد کانون آلوده</t>
        </r>
      </text>
    </comment>
    <comment ref="B46" authorId="1" shapeId="0">
      <text>
        <r>
          <rPr>
            <b/>
            <i/>
            <sz val="12"/>
            <color indexed="17"/>
            <rFont val="B Esfehan"/>
            <charset val="178"/>
          </rPr>
          <t>تعداد کانون آلوده</t>
        </r>
      </text>
    </comment>
    <comment ref="B47" authorId="1" shapeId="0">
      <text>
        <r>
          <rPr>
            <b/>
            <i/>
            <sz val="12"/>
            <color indexed="17"/>
            <rFont val="B Esfehan"/>
            <charset val="178"/>
          </rPr>
          <t>تعداد کانون آلوده</t>
        </r>
      </text>
    </comment>
    <comment ref="B48" authorId="1" shapeId="0">
      <text>
        <r>
          <rPr>
            <b/>
            <i/>
            <sz val="12"/>
            <color indexed="17"/>
            <rFont val="B Esfehan"/>
            <charset val="178"/>
          </rPr>
          <t>تعداد کانون آلوده روستایی</t>
        </r>
      </text>
    </comment>
    <comment ref="B49" authorId="1" shapeId="0">
      <text>
        <r>
          <rPr>
            <b/>
            <i/>
            <sz val="12"/>
            <color indexed="17"/>
            <rFont val="B Esfehan"/>
            <charset val="178"/>
          </rPr>
          <t>تعداد کانون آلوده جوجه کشی</t>
        </r>
      </text>
    </comment>
    <comment ref="B50" authorId="1" shapeId="0">
      <text>
        <r>
          <rPr>
            <b/>
            <i/>
            <sz val="12"/>
            <color indexed="17"/>
            <rFont val="B Esfehan"/>
            <charset val="178"/>
          </rPr>
          <t>تعداد کانون آلوده ساير گله هاي طيور ( اردك و ... )</t>
        </r>
      </text>
    </comment>
    <comment ref="B51" authorId="1" shapeId="0">
      <text>
        <r>
          <rPr>
            <b/>
            <i/>
            <sz val="12"/>
            <color indexed="17"/>
            <rFont val="B Esfehan"/>
            <charset val="178"/>
          </rPr>
          <t>تعداد کانون آلوده پرندگان زینتی</t>
        </r>
      </text>
    </comment>
    <comment ref="B52" authorId="1" shapeId="0">
      <text>
        <r>
          <rPr>
            <b/>
            <i/>
            <sz val="12"/>
            <color indexed="17"/>
            <rFont val="B Esfehan"/>
            <charset val="178"/>
          </rPr>
          <t xml:space="preserve">تعداد کانون آلوده پرندگان مهاجر </t>
        </r>
      </text>
    </comment>
    <comment ref="B53" authorId="1" shapeId="0">
      <text>
        <r>
          <rPr>
            <b/>
            <i/>
            <sz val="12"/>
            <color indexed="17"/>
            <rFont val="B Esfehan"/>
            <charset val="178"/>
          </rPr>
          <t>تناژ نهاده معدوم شده</t>
        </r>
      </text>
    </comment>
    <comment ref="B54" authorId="1" shapeId="0">
      <text>
        <r>
          <rPr>
            <b/>
            <i/>
            <sz val="12"/>
            <color indexed="17"/>
            <rFont val="B Esfehan"/>
            <charset val="178"/>
          </rPr>
          <t xml:space="preserve">تعداد کانون آلوده </t>
        </r>
      </text>
    </comment>
    <comment ref="B55" authorId="1" shapeId="0">
      <text>
        <r>
          <rPr>
            <b/>
            <i/>
            <sz val="12"/>
            <color indexed="17"/>
            <rFont val="B Esfehan"/>
            <charset val="178"/>
          </rPr>
          <t>تناژ نهاده های معدوم شده</t>
        </r>
      </text>
    </comment>
    <comment ref="B56" authorId="1" shapeId="0">
      <text>
        <r>
          <rPr>
            <b/>
            <i/>
            <sz val="12"/>
            <color indexed="17"/>
            <rFont val="B Esfehan"/>
            <charset val="178"/>
          </rPr>
          <t>در صورت استقرار قرنطینه سیار (خودرو) در راه های مواصلاتی (چند شیفت)</t>
        </r>
      </text>
    </comment>
    <comment ref="B57" authorId="1" shapeId="0">
      <text>
        <r>
          <rPr>
            <b/>
            <i/>
            <sz val="12"/>
            <color indexed="17"/>
            <rFont val="B Esfehan"/>
            <charset val="178"/>
          </rPr>
          <t>در صورت استقرار نیرو جهت قرنطینه در واحد آلوده (چند شبانه روز)</t>
        </r>
      </text>
    </comment>
    <comment ref="B58" authorId="1" shapeId="0">
      <text>
        <r>
          <rPr>
            <b/>
            <i/>
            <sz val="12"/>
            <color indexed="17"/>
            <rFont val="B Esfehan"/>
            <charset val="178"/>
          </rPr>
          <t>تعداد بازدید از سايت هاي ضدعفوني خودروهاي حمل جهت ارزیابی عملیات ضدعفونی</t>
        </r>
      </text>
    </comment>
    <comment ref="B59" authorId="1" shapeId="0">
      <text>
        <r>
          <rPr>
            <b/>
            <i/>
            <sz val="12"/>
            <color indexed="17"/>
            <rFont val="B Esfehan"/>
            <charset val="178"/>
          </rPr>
          <t>تعداد بازدید از پست قرنطينه جهت ارزیابی عملکرد پست قرنطینه</t>
        </r>
      </text>
    </comment>
    <comment ref="B60" authorId="1" shapeId="0">
      <text>
        <r>
          <rPr>
            <b/>
            <i/>
            <sz val="12"/>
            <color indexed="17"/>
            <rFont val="B Esfehan"/>
            <charset val="178"/>
          </rPr>
          <t>تعداد کانون آلوده</t>
        </r>
      </text>
    </comment>
    <comment ref="B61" authorId="1" shapeId="0">
      <text>
        <r>
          <rPr>
            <b/>
            <i/>
            <sz val="12"/>
            <color indexed="17"/>
            <rFont val="B Esfehan"/>
            <charset val="178"/>
          </rPr>
          <t>تعداد کانون آلوده</t>
        </r>
      </text>
    </comment>
    <comment ref="B62" authorId="1" shapeId="0">
      <text>
        <r>
          <rPr>
            <b/>
            <i/>
            <sz val="12"/>
            <color indexed="17"/>
            <rFont val="B Esfehan"/>
            <charset val="178"/>
          </rPr>
          <t xml:space="preserve">چند لیتر مواد ضدعفونی  در استان برای این عملیات توزیع و مصرف شده است </t>
        </r>
      </text>
    </comment>
    <comment ref="B63" authorId="1" shapeId="0">
      <text>
        <r>
          <rPr>
            <b/>
            <i/>
            <sz val="12"/>
            <color indexed="17"/>
            <rFont val="B Esfehan"/>
            <charset val="178"/>
          </rPr>
          <t>متر مربع</t>
        </r>
      </text>
    </comment>
    <comment ref="B64" authorId="1" shapeId="0">
      <text>
        <r>
          <rPr>
            <b/>
            <i/>
            <sz val="12"/>
            <color indexed="17"/>
            <rFont val="B Esfehan"/>
            <charset val="178"/>
          </rPr>
          <t>تناژ نهاده های ضدعفونی شده</t>
        </r>
      </text>
    </comment>
    <comment ref="B65" authorId="1" shapeId="0">
      <text>
        <r>
          <rPr>
            <b/>
            <i/>
            <sz val="12"/>
            <color indexed="17"/>
            <rFont val="B Esfehan"/>
            <charset val="178"/>
          </rPr>
          <t>چند دستگاه</t>
        </r>
      </text>
    </comment>
    <comment ref="B66" authorId="1" shapeId="0">
      <text>
        <r>
          <rPr>
            <b/>
            <i/>
            <sz val="12"/>
            <color indexed="17"/>
            <rFont val="B Esfehan"/>
            <charset val="178"/>
          </rPr>
          <t>چند دستگاه</t>
        </r>
      </text>
    </comment>
    <comment ref="B67" authorId="1" shapeId="0">
      <text>
        <r>
          <rPr>
            <b/>
            <i/>
            <sz val="12"/>
            <color indexed="17"/>
            <rFont val="B Esfehan"/>
            <charset val="178"/>
          </rPr>
          <t>تعداد بازدید از مرغداری جهت ارزیابی عمليات ضد عفونی كانون بیماری</t>
        </r>
      </text>
    </comment>
    <comment ref="B68" authorId="1" shapeId="0">
      <text>
        <r>
          <rPr>
            <b/>
            <i/>
            <sz val="12"/>
            <color indexed="17"/>
            <rFont val="B Esfehan"/>
            <charset val="178"/>
          </rPr>
          <t xml:space="preserve">تعداد اعزام اکیپ جهت بررسی های اپیدمیولوژیک </t>
        </r>
      </text>
    </comment>
    <comment ref="B69" authorId="1" shapeId="0">
      <text>
        <r>
          <rPr>
            <b/>
            <i/>
            <sz val="12"/>
            <color indexed="17"/>
            <rFont val="B Esfehan"/>
            <charset val="178"/>
          </rPr>
          <t>تعداد نمونه های سرمی اخذ شده و تحویل داده شده جهت بررسی های آزمایشگاهی
(بعبارتی نمونه های گرفته شده توسط اکیپ جهت آزمایش)</t>
        </r>
      </text>
    </comment>
    <comment ref="B70" authorId="1" shapeId="0">
      <text>
        <r>
          <rPr>
            <b/>
            <i/>
            <sz val="12"/>
            <color indexed="17"/>
            <rFont val="B Esfehan"/>
            <charset val="178"/>
          </rPr>
          <t>تعداد نمونه های بافتی اخذ شده و تحویل داده شده جهت بررسی های آزمایشگاهی
(بعبارتی نمونه های گرفته شده توسط اکیپ جهت آزمایش)</t>
        </r>
      </text>
    </comment>
    <comment ref="B71" authorId="1" shapeId="0">
      <text>
        <r>
          <rPr>
            <b/>
            <i/>
            <sz val="12"/>
            <color indexed="17"/>
            <rFont val="B Esfehan"/>
            <charset val="178"/>
          </rPr>
          <t>تعداد نمونه های "نهاده" اخذ شده و تحویل داده شده جهت بررسی های آزمایشگاهی
(بعبارتی نمونه های گرفته شده توسط اکیپ جهت آزمایش)</t>
        </r>
      </text>
    </comment>
    <comment ref="B72" authorId="1" shapeId="0">
      <text>
        <r>
          <rPr>
            <b/>
            <i/>
            <sz val="12"/>
            <color indexed="17"/>
            <rFont val="B Esfehan"/>
            <charset val="178"/>
          </rPr>
          <t>تعداد بازدید از مرغداری، روستا، مراکز مایه کوبی جهت ارزیابی عمليات واکسیناسیون طیور</t>
        </r>
      </text>
    </comment>
    <comment ref="A73" authorId="1" shapeId="0">
      <text>
        <r>
          <rPr>
            <b/>
            <i/>
            <sz val="12"/>
            <color indexed="17"/>
            <rFont val="B Esfehan"/>
            <charset val="178"/>
          </rPr>
          <t xml:space="preserve">از آنجایی که فعالیت ها در یک عملیات از نظر نوع، زمانبری، تعداد و مهارت کارکنان ، حجم آن فعالیت و ... متفاوت می باشند لاجرم نیاز به همسان سازی فعالیت ها و محاسبه ارزش وزنی واحد برای آن ها هستیم که به آن کمیت سنجه عملکرد همسان شده ( هدف کمی) می گویند و عنوان سنجه عملکرد آن معمولاً واحد فعالیتی است که از ارزش وزنی بالاتری برخوردار است یا بهترین معرف برای عملیات است و شاخص سنجه عماکرد نیز ارزش وزنی واحد آن فعالیت می باشد.    </t>
        </r>
      </text>
    </comment>
  </commentList>
</comments>
</file>

<file path=xl/comments5.xml><?xml version="1.0" encoding="utf-8"?>
<comments xmlns="http://schemas.openxmlformats.org/spreadsheetml/2006/main">
  <authors>
    <author>Ali Akbar Faraji</author>
  </authors>
  <commentList>
    <comment ref="C2" authorId="0" shapeId="0">
      <text>
        <r>
          <rPr>
            <b/>
            <i/>
            <sz val="12"/>
            <color indexed="17"/>
            <rFont val="B Esfehan"/>
            <charset val="178"/>
          </rPr>
          <t>تلفات بیماری (درصد):  تلفات بیماری در دوره زمانی ارزیابی  تقسیم بر جوجه ریزی در همان دوره زمانی ضربدر عدد 100 .
بروز بیماری: صرفآ در دوره زمانی ارزیابی تعداد موارد جدید کانون های بیماری که تشخیص داده شده را ذکر نمائید.</t>
        </r>
      </text>
    </comment>
  </commentList>
</comments>
</file>

<file path=xl/comments6.xml><?xml version="1.0" encoding="utf-8"?>
<comments xmlns="http://schemas.openxmlformats.org/spreadsheetml/2006/main">
  <authors>
    <author>Dr faraji</author>
    <author>Ali Akbar Faraji</author>
  </authors>
  <commentList>
    <comment ref="B2" authorId="0" shapeId="0">
      <text>
        <r>
          <rPr>
            <b/>
            <sz val="12"/>
            <color indexed="17"/>
            <rFont val="B Esfehan"/>
            <charset val="178"/>
          </rPr>
          <t>لطفاً فقط ستون حجم عمليات بخش دولتی و خصوصی را در صورتي كه استان واجد عمليات مي باشد تكميل نماييد.</t>
        </r>
      </text>
    </comment>
    <comment ref="B4" authorId="1" shapeId="0">
      <text>
        <r>
          <rPr>
            <b/>
            <i/>
            <sz val="12"/>
            <color indexed="17"/>
            <rFont val="B Esfehan"/>
            <charset val="178"/>
          </rPr>
          <t>تعداد بازدید نمونه برداری</t>
        </r>
      </text>
    </comment>
    <comment ref="B5" authorId="1" shapeId="0">
      <text>
        <r>
          <rPr>
            <b/>
            <i/>
            <sz val="12"/>
            <color indexed="17"/>
            <rFont val="B Esfehan"/>
            <charset val="178"/>
          </rPr>
          <t>تعداد بازدید نمونه برداری</t>
        </r>
      </text>
    </comment>
    <comment ref="B6" authorId="1" shapeId="0">
      <text>
        <r>
          <rPr>
            <b/>
            <i/>
            <sz val="12"/>
            <color indexed="17"/>
            <rFont val="B Esfehan"/>
            <charset val="178"/>
          </rPr>
          <t>تعداد بازدید نمونه برداری</t>
        </r>
      </text>
    </comment>
    <comment ref="B7" authorId="1" shapeId="0">
      <text>
        <r>
          <rPr>
            <b/>
            <i/>
            <sz val="12"/>
            <color indexed="17"/>
            <rFont val="B Esfehan"/>
            <charset val="178"/>
          </rPr>
          <t>تعداد بازدید نمونه برداری</t>
        </r>
      </text>
    </comment>
    <comment ref="B8" authorId="1" shapeId="0">
      <text>
        <r>
          <rPr>
            <b/>
            <i/>
            <sz val="12"/>
            <color indexed="17"/>
            <rFont val="B Esfehan"/>
            <charset val="178"/>
          </rPr>
          <t>تعداد بازدید نمونه برداری</t>
        </r>
      </text>
    </comment>
    <comment ref="B9" authorId="1" shapeId="0">
      <text>
        <r>
          <rPr>
            <b/>
            <i/>
            <sz val="12"/>
            <color indexed="17"/>
            <rFont val="B Esfehan"/>
            <charset val="178"/>
          </rPr>
          <t>تعداد بازدید نمونه برداری</t>
        </r>
      </text>
    </comment>
    <comment ref="B10" authorId="1" shapeId="0">
      <text>
        <r>
          <rPr>
            <b/>
            <i/>
            <sz val="12"/>
            <color indexed="17"/>
            <rFont val="B Esfehan"/>
            <charset val="178"/>
          </rPr>
          <t>تعداد بازدید نمونه برداری</t>
        </r>
      </text>
    </comment>
    <comment ref="B11" authorId="1" shapeId="0">
      <text>
        <r>
          <rPr>
            <b/>
            <i/>
            <sz val="12"/>
            <color indexed="17"/>
            <rFont val="B Esfehan"/>
            <charset val="178"/>
          </rPr>
          <t>تعداد بازدید نمونه برداری</t>
        </r>
      </text>
    </comment>
    <comment ref="B12" authorId="1" shapeId="0">
      <text>
        <r>
          <rPr>
            <b/>
            <i/>
            <sz val="12"/>
            <color indexed="17"/>
            <rFont val="B Esfehan"/>
            <charset val="178"/>
          </rPr>
          <t>تعداد بازدید نمونه برداری</t>
        </r>
      </text>
    </comment>
    <comment ref="B13" authorId="1" shapeId="0">
      <text>
        <r>
          <rPr>
            <b/>
            <i/>
            <sz val="12"/>
            <color indexed="17"/>
            <rFont val="B Esfehan"/>
            <charset val="178"/>
          </rPr>
          <t>تعداد بازدید نمونه برداری</t>
        </r>
      </text>
    </comment>
    <comment ref="B14" authorId="1" shapeId="0">
      <text>
        <r>
          <rPr>
            <b/>
            <i/>
            <sz val="12"/>
            <color indexed="17"/>
            <rFont val="B Esfehan"/>
            <charset val="178"/>
          </rPr>
          <t>تعداد بازدید نمونه برداری</t>
        </r>
      </text>
    </comment>
    <comment ref="B15" authorId="1" shapeId="0">
      <text>
        <r>
          <rPr>
            <b/>
            <i/>
            <sz val="12"/>
            <color indexed="17"/>
            <rFont val="B Esfehan"/>
            <charset val="178"/>
          </rPr>
          <t>تعداد بازدید نمونه برداری</t>
        </r>
      </text>
    </comment>
    <comment ref="B16" authorId="1" shapeId="0">
      <text>
        <r>
          <rPr>
            <b/>
            <i/>
            <sz val="12"/>
            <color indexed="17"/>
            <rFont val="B Esfehan"/>
            <charset val="178"/>
          </rPr>
          <t>تعداد بازدید نمونه برداری</t>
        </r>
      </text>
    </comment>
    <comment ref="B17" authorId="1" shapeId="0">
      <text>
        <r>
          <rPr>
            <b/>
            <i/>
            <sz val="12"/>
            <color indexed="17"/>
            <rFont val="B Esfehan"/>
            <charset val="178"/>
          </rPr>
          <t>تعداد بازدید نمونه برداری</t>
        </r>
      </text>
    </comment>
    <comment ref="B18" authorId="1" shapeId="0">
      <text>
        <r>
          <rPr>
            <b/>
            <i/>
            <sz val="12"/>
            <color indexed="17"/>
            <rFont val="B Esfehan"/>
            <charset val="178"/>
          </rPr>
          <t>تعداد بازدید نظلرتی</t>
        </r>
      </text>
    </comment>
    <comment ref="B19" authorId="1" shapeId="0">
      <text>
        <r>
          <rPr>
            <b/>
            <i/>
            <sz val="12"/>
            <color indexed="17"/>
            <rFont val="B Esfehan"/>
            <charset val="178"/>
          </rPr>
          <t>تعداد بازدید ممیزی</t>
        </r>
      </text>
    </comment>
    <comment ref="B20" authorId="1" shapeId="0">
      <text>
        <r>
          <rPr>
            <b/>
            <i/>
            <sz val="12"/>
            <color indexed="17"/>
            <rFont val="B Esfehan"/>
            <charset val="178"/>
          </rPr>
          <t>تعداد بازدید نمونه برداری</t>
        </r>
      </text>
    </comment>
    <comment ref="B21" authorId="1" shapeId="0">
      <text>
        <r>
          <rPr>
            <b/>
            <i/>
            <sz val="12"/>
            <color indexed="17"/>
            <rFont val="B Esfehan"/>
            <charset val="178"/>
          </rPr>
          <t>تعداد بازدید نمونه برداری</t>
        </r>
      </text>
    </comment>
    <comment ref="B22" authorId="1" shapeId="0">
      <text>
        <r>
          <rPr>
            <b/>
            <i/>
            <sz val="12"/>
            <color indexed="17"/>
            <rFont val="B Esfehan"/>
            <charset val="178"/>
          </rPr>
          <t>تعداد بازدید نمونه برداری</t>
        </r>
      </text>
    </comment>
    <comment ref="B23" authorId="1" shapeId="0">
      <text>
        <r>
          <rPr>
            <b/>
            <i/>
            <sz val="12"/>
            <color indexed="17"/>
            <rFont val="B Esfehan"/>
            <charset val="178"/>
          </rPr>
          <t>تعداد بازدید نمونه برداری</t>
        </r>
      </text>
    </comment>
    <comment ref="B24" authorId="1" shapeId="0">
      <text>
        <r>
          <rPr>
            <b/>
            <i/>
            <sz val="12"/>
            <color indexed="17"/>
            <rFont val="B Esfehan"/>
            <charset val="178"/>
          </rPr>
          <t>تعداد بازدید نمونه برداری</t>
        </r>
      </text>
    </comment>
    <comment ref="B25" authorId="1" shapeId="0">
      <text>
        <r>
          <rPr>
            <b/>
            <i/>
            <sz val="12"/>
            <color indexed="17"/>
            <rFont val="B Esfehan"/>
            <charset val="178"/>
          </rPr>
          <t>تعداد بازدید نمونه برداری</t>
        </r>
      </text>
    </comment>
    <comment ref="B26" authorId="1" shapeId="0">
      <text>
        <r>
          <rPr>
            <b/>
            <i/>
            <sz val="12"/>
            <color indexed="17"/>
            <rFont val="B Esfehan"/>
            <charset val="178"/>
          </rPr>
          <t>تعداد بازدید نمونه برداری</t>
        </r>
      </text>
    </comment>
    <comment ref="B27" authorId="1" shapeId="0">
      <text>
        <r>
          <rPr>
            <b/>
            <i/>
            <sz val="12"/>
            <color indexed="17"/>
            <rFont val="B Esfehan"/>
            <charset val="178"/>
          </rPr>
          <t>تعداد بازدید نمونه برداری</t>
        </r>
      </text>
    </comment>
    <comment ref="B28" authorId="1" shapeId="0">
      <text>
        <r>
          <rPr>
            <b/>
            <i/>
            <sz val="12"/>
            <color indexed="17"/>
            <rFont val="B Esfehan"/>
            <charset val="178"/>
          </rPr>
          <t>تعداد بازدید نمونه برداری</t>
        </r>
      </text>
    </comment>
    <comment ref="B29" authorId="1" shapeId="0">
      <text>
        <r>
          <rPr>
            <b/>
            <i/>
            <sz val="12"/>
            <color indexed="17"/>
            <rFont val="B Esfehan"/>
            <charset val="178"/>
          </rPr>
          <t>تعداد بازدید نمونه برداری</t>
        </r>
      </text>
    </comment>
    <comment ref="B30" authorId="1" shapeId="0">
      <text>
        <r>
          <rPr>
            <b/>
            <i/>
            <sz val="12"/>
            <color indexed="17"/>
            <rFont val="B Esfehan"/>
            <charset val="178"/>
          </rPr>
          <t>تعداد بازدید نمونه برداری</t>
        </r>
      </text>
    </comment>
    <comment ref="B31" authorId="1" shapeId="0">
      <text>
        <r>
          <rPr>
            <b/>
            <i/>
            <sz val="12"/>
            <color indexed="17"/>
            <rFont val="B Esfehan"/>
            <charset val="178"/>
          </rPr>
          <t>تعداد بازدید نمونه برداری</t>
        </r>
      </text>
    </comment>
    <comment ref="B32" authorId="1" shapeId="0">
      <text>
        <r>
          <rPr>
            <b/>
            <i/>
            <sz val="12"/>
            <color indexed="17"/>
            <rFont val="B Esfehan"/>
            <charset val="178"/>
          </rPr>
          <t>تعداد بازدید نمونه برداری</t>
        </r>
      </text>
    </comment>
    <comment ref="B33" authorId="1" shapeId="0">
      <text>
        <r>
          <rPr>
            <b/>
            <i/>
            <sz val="12"/>
            <color indexed="17"/>
            <rFont val="B Esfehan"/>
            <charset val="178"/>
          </rPr>
          <t>تعداد بازدید نمونه برداری</t>
        </r>
      </text>
    </comment>
    <comment ref="B34" authorId="1" shapeId="0">
      <text>
        <r>
          <rPr>
            <b/>
            <i/>
            <sz val="12"/>
            <color indexed="17"/>
            <rFont val="B Esfehan"/>
            <charset val="178"/>
          </rPr>
          <t>تعداد بازدید نمونه برداری</t>
        </r>
      </text>
    </comment>
    <comment ref="B35" authorId="1" shapeId="0">
      <text>
        <r>
          <rPr>
            <b/>
            <i/>
            <sz val="12"/>
            <color indexed="17"/>
            <rFont val="B Esfehan"/>
            <charset val="178"/>
          </rPr>
          <t>تعداد بازدید نمونه برداری</t>
        </r>
      </text>
    </comment>
    <comment ref="B36" authorId="1" shapeId="0">
      <text>
        <r>
          <rPr>
            <b/>
            <i/>
            <sz val="12"/>
            <color indexed="17"/>
            <rFont val="B Esfehan"/>
            <charset val="178"/>
          </rPr>
          <t>تعداد بازدید نمونه برداری</t>
        </r>
      </text>
    </comment>
    <comment ref="B37" authorId="1" shapeId="0">
      <text>
        <r>
          <rPr>
            <b/>
            <i/>
            <sz val="12"/>
            <color indexed="17"/>
            <rFont val="B Esfehan"/>
            <charset val="178"/>
          </rPr>
          <t>تناژ نهاده های ضدعفونی شده</t>
        </r>
      </text>
    </comment>
    <comment ref="B38" authorId="1" shapeId="0">
      <text>
        <r>
          <rPr>
            <b/>
            <i/>
            <sz val="12"/>
            <color indexed="17"/>
            <rFont val="B Esfehan"/>
            <charset val="178"/>
          </rPr>
          <t>تعداد بررسی</t>
        </r>
      </text>
    </comment>
    <comment ref="B39" authorId="1" shapeId="0">
      <text>
        <r>
          <rPr>
            <b/>
            <i/>
            <sz val="12"/>
            <color indexed="17"/>
            <rFont val="B Esfehan"/>
            <charset val="178"/>
          </rPr>
          <t>تعداد بازدید نظارتی</t>
        </r>
      </text>
    </comment>
    <comment ref="B40" authorId="1" shapeId="0">
      <text>
        <r>
          <rPr>
            <b/>
            <i/>
            <sz val="12"/>
            <color indexed="17"/>
            <rFont val="B Esfehan"/>
            <charset val="178"/>
          </rPr>
          <t>تعداد کانون آلوده</t>
        </r>
      </text>
    </comment>
    <comment ref="B41" authorId="1" shapeId="0">
      <text>
        <r>
          <rPr>
            <b/>
            <i/>
            <sz val="12"/>
            <color indexed="17"/>
            <rFont val="B Esfehan"/>
            <charset val="178"/>
          </rPr>
          <t>تناژ نهاده های معدوم شده</t>
        </r>
      </text>
    </comment>
    <comment ref="B42" authorId="1" shapeId="0">
      <text>
        <r>
          <rPr>
            <b/>
            <i/>
            <sz val="12"/>
            <color indexed="17"/>
            <rFont val="B Esfehan"/>
            <charset val="178"/>
          </rPr>
          <t xml:space="preserve">تعداد کانون آلوده </t>
        </r>
      </text>
    </comment>
    <comment ref="B43" authorId="1" shapeId="0">
      <text>
        <r>
          <rPr>
            <b/>
            <i/>
            <sz val="12"/>
            <color indexed="17"/>
            <rFont val="B Esfehan"/>
            <charset val="178"/>
          </rPr>
          <t>در صورت استقرار قرنطینه سیار (خودرو) در راه های مواصلاتی (چند شیفت)</t>
        </r>
      </text>
    </comment>
    <comment ref="B44" authorId="1" shapeId="0">
      <text>
        <r>
          <rPr>
            <b/>
            <i/>
            <sz val="12"/>
            <color indexed="17"/>
            <rFont val="B Esfehan"/>
            <charset val="178"/>
          </rPr>
          <t>در صورت استقرار نیرو جهت قرنطینه در واحد آلوده (چند شبانه روز)</t>
        </r>
      </text>
    </comment>
    <comment ref="B45" authorId="1" shapeId="0">
      <text>
        <r>
          <rPr>
            <b/>
            <i/>
            <sz val="12"/>
            <color indexed="17"/>
            <rFont val="B Esfehan"/>
            <charset val="178"/>
          </rPr>
          <t>تعداد بازدید از سايت هاي ضدعفوني خودروهاي حمل جهت ارزیابی عملیات ضدعفونی</t>
        </r>
      </text>
    </comment>
    <comment ref="B46" authorId="1" shapeId="0">
      <text>
        <r>
          <rPr>
            <b/>
            <i/>
            <sz val="12"/>
            <color indexed="17"/>
            <rFont val="B Esfehan"/>
            <charset val="178"/>
          </rPr>
          <t>تعداد بازدید از پست قرنطينه جهت ارزیابی عملکرد پست قرنطینه</t>
        </r>
      </text>
    </comment>
    <comment ref="B47" authorId="1" shapeId="0">
      <text>
        <r>
          <rPr>
            <b/>
            <i/>
            <sz val="12"/>
            <color indexed="17"/>
            <rFont val="B Esfehan"/>
            <charset val="178"/>
          </rPr>
          <t>تعداد کانون آلوده</t>
        </r>
      </text>
    </comment>
    <comment ref="B48" authorId="1" shapeId="0">
      <text>
        <r>
          <rPr>
            <b/>
            <i/>
            <sz val="12"/>
            <color indexed="17"/>
            <rFont val="B Esfehan"/>
            <charset val="178"/>
          </rPr>
          <t>تعداد کانون آلوده</t>
        </r>
      </text>
    </comment>
    <comment ref="B49" authorId="1" shapeId="0">
      <text>
        <r>
          <rPr>
            <b/>
            <i/>
            <sz val="12"/>
            <color indexed="17"/>
            <rFont val="B Esfehan"/>
            <charset val="178"/>
          </rPr>
          <t xml:space="preserve">چند لیتر مواد ضدعفونی  در استان برای این عملیات توزیع و مصرف شده است </t>
        </r>
      </text>
    </comment>
    <comment ref="B50" authorId="1" shapeId="0">
      <text>
        <r>
          <rPr>
            <b/>
            <i/>
            <sz val="12"/>
            <color indexed="17"/>
            <rFont val="B Esfehan"/>
            <charset val="178"/>
          </rPr>
          <t>متر مربع</t>
        </r>
      </text>
    </comment>
    <comment ref="B51" authorId="1" shapeId="0">
      <text>
        <r>
          <rPr>
            <b/>
            <i/>
            <sz val="12"/>
            <color indexed="17"/>
            <rFont val="B Esfehan"/>
            <charset val="178"/>
          </rPr>
          <t>چند دستگاه</t>
        </r>
      </text>
    </comment>
    <comment ref="B52" authorId="1" shapeId="0">
      <text>
        <r>
          <rPr>
            <b/>
            <i/>
            <sz val="12"/>
            <color indexed="17"/>
            <rFont val="B Esfehan"/>
            <charset val="178"/>
          </rPr>
          <t>چند دستگاه</t>
        </r>
      </text>
    </comment>
    <comment ref="B53" authorId="1" shapeId="0">
      <text>
        <r>
          <rPr>
            <b/>
            <i/>
            <sz val="12"/>
            <color indexed="17"/>
            <rFont val="B Esfehan"/>
            <charset val="178"/>
          </rPr>
          <t>تعداد بازدید از آبزی پروری جهت ارزیابی عمليات ضد عفونی كانون بیماری</t>
        </r>
      </text>
    </comment>
    <comment ref="B54" authorId="1" shapeId="0">
      <text>
        <r>
          <rPr>
            <b/>
            <i/>
            <sz val="12"/>
            <color indexed="17"/>
            <rFont val="B Esfehan"/>
            <charset val="178"/>
          </rPr>
          <t xml:space="preserve">تعداد اعزام اکیپ جهت بررسی های اپیدمیولوژیک </t>
        </r>
      </text>
    </comment>
    <comment ref="B55" authorId="1" shapeId="0">
      <text>
        <r>
          <rPr>
            <b/>
            <i/>
            <sz val="12"/>
            <color indexed="17"/>
            <rFont val="B Esfehan"/>
            <charset val="178"/>
          </rPr>
          <t>تعداد نمونه های سرمی اخذ شده و تحویل داده شده جهت بررسی های آزمایشگاهی
(بعبارتی نمونه های گرفته شده توسط اکیپ جهت آزمایش)</t>
        </r>
      </text>
    </comment>
    <comment ref="B56" authorId="1" shapeId="0">
      <text>
        <r>
          <rPr>
            <b/>
            <i/>
            <sz val="12"/>
            <color indexed="17"/>
            <rFont val="B Esfehan"/>
            <charset val="178"/>
          </rPr>
          <t>تعداد نمونه های بافتی اخذ شده و تحویل داده شده جهت بررسی های آزمایشگاهی
(بعبارتی نمونه های گرفته شده توسط اکیپ جهت آزمایش)</t>
        </r>
      </text>
    </comment>
    <comment ref="B57" authorId="1" shapeId="0">
      <text>
        <r>
          <rPr>
            <b/>
            <i/>
            <sz val="12"/>
            <color indexed="17"/>
            <rFont val="B Esfehan"/>
            <charset val="178"/>
          </rPr>
          <t>تعداد نمونه های "نهاده" اخذ شده و تحویل داده شده جهت بررسی های آزمایشگاهی
(بعبارتی نمونه های گرفته شده توسط اکیپ جهت آزمایش)</t>
        </r>
      </text>
    </comment>
    <comment ref="B58" authorId="1" shapeId="0">
      <text>
        <r>
          <rPr>
            <b/>
            <i/>
            <sz val="12"/>
            <color indexed="17"/>
            <rFont val="B Esfehan"/>
            <charset val="178"/>
          </rPr>
          <t>تعداد بازدید کارشناسی در خصوص امور بیمه</t>
        </r>
      </text>
    </comment>
    <comment ref="A59" authorId="1" shapeId="0">
      <text>
        <r>
          <rPr>
            <b/>
            <i/>
            <sz val="12"/>
            <color indexed="17"/>
            <rFont val="B Esfehan"/>
            <charset val="178"/>
          </rPr>
          <t xml:space="preserve">از آنجایی که فعالیت ها در یک عملیات از نظر نوع، زمانبری، تعداد و مهارت کارکنان ، حجم آن فعالیت و ... متفاوت می باشند لاجرم نیاز به همسان سازی فعالیت ها و محاسبه ارزش وزنی واحد برای آن ها هستیم که به آن کمیت سنجه عملکرد همسان شده ( هدف کمی) می گویند و عنوان سنجه عملکرد آن معمولاً واحد فعالیتی است که از ارزش وزنی بالاتری برخوردار است یا بهترین معرف برای عملیات است و شاخص سنجه عماکرد نیز ارزش وزنی واحد آن فعالیت می باشد.    </t>
        </r>
      </text>
    </comment>
  </commentList>
</comments>
</file>

<file path=xl/comments7.xml><?xml version="1.0" encoding="utf-8"?>
<comments xmlns="http://schemas.openxmlformats.org/spreadsheetml/2006/main">
  <authors>
    <author>Ali Akbar Faraji</author>
  </authors>
  <commentList>
    <comment ref="C2" authorId="0" shapeId="0">
      <text>
        <r>
          <rPr>
            <b/>
            <i/>
            <sz val="12"/>
            <color indexed="17"/>
            <rFont val="B Esfehan"/>
            <charset val="178"/>
          </rPr>
          <t>تلفات بیماری (درصد):  تلفات بیماری در دوره زمانی ارزیابی  تقسیم بر جمعیت در معرض خطر در همان دوره زمانی ضربدر عدد 100 .
بروز بیماری: صرفآ در دوره زمانی ارزیابی تعداد موارد جدید کانون های بیماری که تشخیص داده شده را ذکر نمائید.</t>
        </r>
      </text>
    </comment>
  </commentList>
</comments>
</file>

<file path=xl/comments8.xml><?xml version="1.0" encoding="utf-8"?>
<comments xmlns="http://schemas.openxmlformats.org/spreadsheetml/2006/main">
  <authors>
    <author>Dr faraji</author>
    <author>Ali Akbar Faraji</author>
  </authors>
  <commentList>
    <comment ref="B2" authorId="0" shapeId="0">
      <text>
        <r>
          <rPr>
            <b/>
            <sz val="12"/>
            <color indexed="17"/>
            <rFont val="B Esfehan"/>
            <charset val="178"/>
          </rPr>
          <t>لطفاً فقط ستون حجم عمليات بخش دولتی و خصوصی را در صورتي كه استان واجد عمليات مي باشد تكميل نماييد.</t>
        </r>
      </text>
    </comment>
    <comment ref="B4" authorId="1" shapeId="0">
      <text>
        <r>
          <rPr>
            <b/>
            <i/>
            <sz val="12"/>
            <color indexed="17"/>
            <rFont val="B Esfehan"/>
            <charset val="178"/>
          </rPr>
          <t>تعداد بازدید نمونه برداری</t>
        </r>
      </text>
    </comment>
    <comment ref="B5" authorId="1" shapeId="0">
      <text>
        <r>
          <rPr>
            <b/>
            <i/>
            <sz val="12"/>
            <color indexed="17"/>
            <rFont val="B Esfehan"/>
            <charset val="178"/>
          </rPr>
          <t>تعداد بازدید نمونه برداری</t>
        </r>
      </text>
    </comment>
    <comment ref="B6" authorId="1" shapeId="0">
      <text>
        <r>
          <rPr>
            <b/>
            <i/>
            <sz val="12"/>
            <color indexed="17"/>
            <rFont val="B Esfehan"/>
            <charset val="178"/>
          </rPr>
          <t>تعداد بازدید نمونه برداری</t>
        </r>
      </text>
    </comment>
    <comment ref="B7" authorId="1" shapeId="0">
      <text>
        <r>
          <rPr>
            <b/>
            <i/>
            <sz val="12"/>
            <color indexed="17"/>
            <rFont val="B Esfehan"/>
            <charset val="178"/>
          </rPr>
          <t>تعداد بازدید نمونه برداری</t>
        </r>
      </text>
    </comment>
    <comment ref="B8" authorId="1" shapeId="0">
      <text>
        <r>
          <rPr>
            <b/>
            <i/>
            <sz val="12"/>
            <color indexed="17"/>
            <rFont val="B Esfehan"/>
            <charset val="178"/>
          </rPr>
          <t>تعداد بازدید نمونه برداری</t>
        </r>
      </text>
    </comment>
    <comment ref="B9" authorId="1" shapeId="0">
      <text>
        <r>
          <rPr>
            <b/>
            <i/>
            <sz val="12"/>
            <color indexed="17"/>
            <rFont val="B Esfehan"/>
            <charset val="178"/>
          </rPr>
          <t>تعداد بازدید نمونه برداری</t>
        </r>
      </text>
    </comment>
    <comment ref="B10" authorId="1" shapeId="0">
      <text>
        <r>
          <rPr>
            <b/>
            <i/>
            <sz val="12"/>
            <color indexed="17"/>
            <rFont val="B Esfehan"/>
            <charset val="178"/>
          </rPr>
          <t xml:space="preserve">تعداد اعزام اکیپ جهت بررسی های اپیدمیولوژیک </t>
        </r>
      </text>
    </comment>
    <comment ref="B11" authorId="1" shapeId="0">
      <text>
        <r>
          <rPr>
            <b/>
            <i/>
            <sz val="12"/>
            <color indexed="17"/>
            <rFont val="B Esfehan"/>
            <charset val="178"/>
          </rPr>
          <t>تعداد نمونه های سرمی اخذ شده و تحویل داده شده جهت بررسی های آزمایشگاهی
(بعبارتی نمونه های گرفته شده توسط اکیپ جهت آزمایش)</t>
        </r>
      </text>
    </comment>
    <comment ref="B12" authorId="1" shapeId="0">
      <text>
        <r>
          <rPr>
            <b/>
            <i/>
            <sz val="12"/>
            <color indexed="17"/>
            <rFont val="B Esfehan"/>
            <charset val="178"/>
          </rPr>
          <t>تعداد نمونه های بافتی اخذ شده و تحویل داده شده جهت بررسی های آزمایشگاهی
(بعبارتی نمونه های گرفته شده توسط اکیپ جهت آزمایش)</t>
        </r>
      </text>
    </comment>
    <comment ref="B13" authorId="1" shapeId="0">
      <text>
        <r>
          <rPr>
            <b/>
            <i/>
            <sz val="12"/>
            <color indexed="17"/>
            <rFont val="B Esfehan"/>
            <charset val="178"/>
          </rPr>
          <t>تعداد نمونه های "نهاده" اخذ شده و تحویل داده شده جهت بررسی های آزمایشگاهی
(بعبارتی نمونه های گرفته شده توسط اکیپ جهت آزمایش)</t>
        </r>
      </text>
    </comment>
    <comment ref="B14" authorId="1" shapeId="0">
      <text>
        <r>
          <rPr>
            <b/>
            <i/>
            <sz val="12"/>
            <color indexed="17"/>
            <rFont val="B Esfehan"/>
            <charset val="178"/>
          </rPr>
          <t>تعداد بازدید کارشناسی در خصوص امور بیمه</t>
        </r>
      </text>
    </comment>
    <comment ref="A15" authorId="1" shapeId="0">
      <text>
        <r>
          <rPr>
            <b/>
            <i/>
            <sz val="12"/>
            <color indexed="17"/>
            <rFont val="B Esfehan"/>
            <charset val="178"/>
          </rPr>
          <t xml:space="preserve">از آنجایی که فعالیت ها در یک عملیات از نظر نوع، زمانبری، تعداد و مهارت کارکنان ، حجم آن فعالیت و ... متفاوت می باشند لاجرم نیاز به همسان سازی فعالیت ها و محاسبه ارزش وزنی واحد برای آن ها هستیم که به آن کمیت سنجه عملکرد همسان شده ( هدف کمی) می گویند و عنوان سنجه عملکرد آن معمولاً واحد فعالیتی است که از ارزش وزنی بالاتری برخوردار است یا بهترین معرف برای عملیات است و شاخص سنجه عماکرد نیز ارزش وزنی واحد آن فعالیت می باشد.    </t>
        </r>
      </text>
    </comment>
  </commentList>
</comments>
</file>

<file path=xl/comments9.xml><?xml version="1.0" encoding="utf-8"?>
<comments xmlns="http://schemas.openxmlformats.org/spreadsheetml/2006/main">
  <authors>
    <author>Ali Akbar Faraji</author>
  </authors>
  <commentList>
    <comment ref="C2" authorId="0" shapeId="0">
      <text>
        <r>
          <rPr>
            <b/>
            <i/>
            <sz val="12"/>
            <color indexed="17"/>
            <rFont val="B Esfehan"/>
            <charset val="178"/>
          </rPr>
          <t>بروز بیماری: صرفآ در دوره زمانی ارزیابی تعداد موارد جدید کانون های بیماری که تشخیص داده شده را ذکر نمائید.</t>
        </r>
      </text>
    </comment>
  </commentList>
</comments>
</file>

<file path=xl/sharedStrings.xml><?xml version="1.0" encoding="utf-8"?>
<sst xmlns="http://schemas.openxmlformats.org/spreadsheetml/2006/main" count="3602" uniqueCount="1414">
  <si>
    <t>ردیف</t>
  </si>
  <si>
    <t>اهداف کلی بخش/ فرابخش</t>
  </si>
  <si>
    <t>واحد</t>
  </si>
  <si>
    <t>وضع موجود در سال 93</t>
  </si>
  <si>
    <t xml:space="preserve"> سال های برنامه ششم</t>
  </si>
  <si>
    <t>ارتقاء  بهداشت و سلامت دام</t>
  </si>
  <si>
    <t>درصد</t>
  </si>
  <si>
    <t xml:space="preserve"> ارتقاء بهداشت و تضمين كيفيت فراورده های خام دامی، خوراک دام، دارو و فراورده هاي بيولوژيك </t>
  </si>
  <si>
    <t>ارتقاء كيفيت و بهداشت واحدهای تولیدی، توزیعی، عرضه و خدمات مرتبط با دامپزشکی</t>
  </si>
  <si>
    <t>دسترسی كمي و كيفي  به بسته خدمات دامپزشکی</t>
  </si>
  <si>
    <t>برش استانی اهداف کلی در برنامه ششم توسعه سازمان دامپزشکی کشور
هدف کلی 1: ارتقاء  بهداشت و سلامت دام</t>
  </si>
  <si>
    <t>استان</t>
  </si>
  <si>
    <t xml:space="preserve"> موجود در سال 1393</t>
  </si>
  <si>
    <t>سال های برنامه ششم</t>
  </si>
  <si>
    <t>آذربايجان شرقي</t>
  </si>
  <si>
    <t>آذربايجان غربي</t>
  </si>
  <si>
    <t>اردبيل</t>
  </si>
  <si>
    <t>اصفهان</t>
  </si>
  <si>
    <t>البرز</t>
  </si>
  <si>
    <t>ايلام</t>
  </si>
  <si>
    <t>بوشهر</t>
  </si>
  <si>
    <t>تهران</t>
  </si>
  <si>
    <t>جيرفت و كهنوج</t>
  </si>
  <si>
    <t>چهارمحال و بختياري</t>
  </si>
  <si>
    <t>خراسان جنوبي</t>
  </si>
  <si>
    <t>خراسان رضوي</t>
  </si>
  <si>
    <t>خراسان شمالي</t>
  </si>
  <si>
    <t>خوزستان</t>
  </si>
  <si>
    <t>زنجان</t>
  </si>
  <si>
    <t>سمنان</t>
  </si>
  <si>
    <t>سيستان و بلوچستان</t>
  </si>
  <si>
    <t>فارس</t>
  </si>
  <si>
    <t>قزوين</t>
  </si>
  <si>
    <t>قم</t>
  </si>
  <si>
    <t>كردستان</t>
  </si>
  <si>
    <t xml:space="preserve">كرمان </t>
  </si>
  <si>
    <t>كرمانشاه</t>
  </si>
  <si>
    <t>كهكيلويه و بويراحمد</t>
  </si>
  <si>
    <t>گلستان</t>
  </si>
  <si>
    <t>گيلان</t>
  </si>
  <si>
    <t>لرستان</t>
  </si>
  <si>
    <t>مازندران</t>
  </si>
  <si>
    <t>مركزي</t>
  </si>
  <si>
    <t>هرمزگان</t>
  </si>
  <si>
    <t>همدان</t>
  </si>
  <si>
    <t>یزد</t>
  </si>
  <si>
    <t>جمع</t>
  </si>
  <si>
    <t>*</t>
  </si>
  <si>
    <t xml:space="preserve">برش استانی اهداف کلی در برنامه ششم توسعه سازمان دامپزشکی کشور
هدف کلی 2:  ارتقاء بهداشت و تضمين كيفيت فراورده های خام دامی، خوراک دام، دارو و فراورده هاي بيولوژيك </t>
  </si>
  <si>
    <t>برش استانی اهداف کلی در برنامه ششم توسعه سازمان دامپزشکی کشور
هدف کلی 3: ارتقاء كيفيت و بهداشت واحدهای تولیدی، توزیعی، عرضه و خدمات مرتبط با دامپزشکی</t>
  </si>
  <si>
    <t>برش استانی اهداف کلی در برنامه ششم توسعه سازمان دامپزشکی کشور
هدف کلی 4: دسترسی كمي و كيفي  به بسته خدمات دامپزشکی</t>
  </si>
  <si>
    <r>
      <rPr>
        <i/>
        <sz val="18"/>
        <color rgb="FF7030A0"/>
        <rFont val="B Mitra"/>
        <charset val="178"/>
      </rPr>
      <t>جدول 2: تعین اهداف کمی بر حسب اهداف کلی در برنامه ششم</t>
    </r>
    <r>
      <rPr>
        <i/>
        <sz val="22"/>
        <color rgb="FF7030A0"/>
        <rFont val="B Mitra"/>
        <charset val="178"/>
      </rPr>
      <t xml:space="preserve"> </t>
    </r>
    <r>
      <rPr>
        <i/>
        <sz val="12"/>
        <color rgb="FF7030A0"/>
        <rFont val="B Mitra"/>
        <charset val="178"/>
      </rPr>
      <t xml:space="preserve"> (بر اساس هدف گذاری)</t>
    </r>
  </si>
  <si>
    <t xml:space="preserve">اهداف کلی </t>
  </si>
  <si>
    <t>هدف کمی</t>
  </si>
  <si>
    <t>وضعیت در پایان سال 93</t>
  </si>
  <si>
    <t>عنوان</t>
  </si>
  <si>
    <t>واحد سنجش</t>
  </si>
  <si>
    <t>تامین بهداشت و سلامت دام</t>
  </si>
  <si>
    <t>/کاهش بروز بیماری های مشترک از 20 در صد کانون در سال پایه به 15 درصد کانون در پایان برنامه</t>
  </si>
  <si>
    <t>درصد کانون</t>
  </si>
  <si>
    <t>/کاهش تلفات در گله های مرغ گوشتی از 3.489 در صد در سال پایه به 2.558 درصد در پایان برنامه
/کاهش بروز بیماری ها در گله های صنعتی طیور از 6247 کانون در سال پایه به 3279 کانون در پایان برنامه</t>
  </si>
  <si>
    <t>درصد تلفات</t>
  </si>
  <si>
    <t>تعداد کانون</t>
  </si>
  <si>
    <t>/کاهش بروز بیماری در مزارع پرورشی آبزیان از 965 کانون در سال پایه به 707 کانون در پایان برنامه
/کاهش تلفات در مزارع پرورشی آبزیان از 13.89 در صد در سال پایه به 10.182 درصد در پایان برنامه</t>
  </si>
  <si>
    <t>کاهش بروز بیماری در کلنی های زنبور عسل از 20.380 در صد کانون در سال پایه به 17.934 درصد کانون در پایان برنامه</t>
  </si>
  <si>
    <t xml:space="preserve">/کاهش بروز بیماری های واگیر دام در واحدهای اپیدمیولوژیک از 14.060 در صد (کانون) در سال پایه به 10.556 درصد (کانون) در پایان برنامه </t>
  </si>
  <si>
    <t>/افزایش موارد و سطح پوشش بیمه های اجباری برای بیماری های مشترک و اخطار کردنی (استراتژیک) 80% تا پایان برنامه</t>
  </si>
  <si>
    <t>درصد پوشش</t>
  </si>
  <si>
    <t xml:space="preserve"> تامین بهداشت و تضمين كيفيت فراورده های خام دامی، خوراک دام، دارو و فراورده هاي بيولوژيك </t>
  </si>
  <si>
    <t>/افزایش سطح پایش و کنترل سموم (کلره، فسفره) و فلزات سنگین (سرب، کادمیوم، جیوه، آرسنیک) در فراورده های دامی (دام، طیور، آبزیان) و خوراک دام در حد مجاز تا پایان برنامه
   /افزایش سطح پایش و کنترل باقیمانده های دارویی (آنتی بیوتیک ها، هورمون ها) در فراورده های دامی (دام، طیور، آبزیان) و خوراک دام در حد مجاز تا پایان برنامه
  /افزایش سطح پایش و کنترل آفلاتوکسین ها در فراورده های دامی (دام، طیور، آبزیان) و خوراک دام در حد مجاز تا پایان برنامه</t>
  </si>
  <si>
    <t>بازدید / نمونه برداری</t>
  </si>
  <si>
    <t xml:space="preserve"> /افزایش ارزیابی مخاطرات فراورده های دامی، خوراک دام، دارو و فراورده هاي بيولوژيك از تعداد 50  تا 200 در پایان برنامه</t>
  </si>
  <si>
    <t>مورد ارزیابی</t>
  </si>
  <si>
    <t>/توسعه آزمایشگاه های مرجع منطقه ای کنترل کیفی فراورده های دامی، خوراک دام در پنج منطقه تا پایان برنامه
/توسعه كمي و كيفي آزمون های تشخيصی و كنترل كيفي دامپزشكي 25 درصد نسبت به سال پایه تا پایان برنامه
/اعتبار بخشی آزمون های تشخيصی و كنترل كيفي فراورده های دامی، خوراک دام، دارو و فراورده هاي بيولوژيك از تعداد 25 درصد آزمون ها در سال پایه به 100 درصد آزمون ها در
 پایان برنامه</t>
  </si>
  <si>
    <t>هزار مورد آزمایش</t>
  </si>
  <si>
    <t>درصد اعتبار بخشی</t>
  </si>
  <si>
    <t>/افزايش تعداد ناوگان اختصاصي و بهداشتي حمل و نقل از تعداد 33600 به 43675 تا پايان برنامه</t>
  </si>
  <si>
    <t>هزار محموله</t>
  </si>
  <si>
    <t>/افزايش تعداد واحدهاي داراي گواهي هاي استقرار سامانه هاي GMP, HACCP  و ....  از 326 واحد به 618 واحد تا پايان برنامه</t>
  </si>
  <si>
    <t>/افزایش صدور مجوز IR و EC , ...   از تعداد 157 مجوز در سال پایه به 634 مجوز در پایان برنامه</t>
  </si>
  <si>
    <t>صدور کد</t>
  </si>
  <si>
    <t xml:space="preserve"> /افزايش تعداد واحدهاي داراي رتبه A از تعداد 395 واحد در سال پایه به 1203 واحد در پایان برنامه</t>
  </si>
  <si>
    <t xml:space="preserve"> افزایش میزان آموزش /ترویج دامداران  از 500000  نفر ساعت در سال پایه به 650000  نفر ساعت در پایان برنامه
  افزایش میزان شاغلین دارای گواهی آموزش های بهداشتی صنایع مرتبط از 1079 نفر گواهی در سال پایه به 1760 نفر گواهی در پایان برنامه</t>
  </si>
  <si>
    <t>ساعت نفر</t>
  </si>
  <si>
    <t>/افزایش تعداد شاغلین بخش غیر دولتی دامپزشکی در شهرستان ها و مناطق کمتر توسعه یافته با جمعیت 100000 واحد دامی از تعداد 10100 نفر در سال پایه به 12000 نفر در پایان برنامه
 /افزایش درمانگاه های دامپزشکی ویژه مناطق روستایی و عشایری  از تعداد 0 واحد در سال پایه به 500 واحد در پایان برنامه</t>
  </si>
  <si>
    <t>نفر</t>
  </si>
  <si>
    <t>تعداد درمانگاه</t>
  </si>
  <si>
    <t>/استفاده از فناوری های نوین هوشمند از 29.6 در صد در سال پایه به 100 درصد در پایان برنامه
/افزایش تعداد کاربران سامانه های الکترونیکی سازمان از تعداد 10 سامانه در سال پایه به 16 سامانه در پایان برنامه</t>
  </si>
  <si>
    <t>تعداد سامانه</t>
  </si>
  <si>
    <r>
      <rPr>
        <i/>
        <sz val="18"/>
        <color rgb="FF7030A0"/>
        <rFont val="B Mitra"/>
        <charset val="178"/>
      </rPr>
      <t>جدول 2: تعین اهداف کمی بر حسب اهداف کلی در برنامه ششم</t>
    </r>
    <r>
      <rPr>
        <i/>
        <sz val="12"/>
        <color rgb="FF7030A0"/>
        <rFont val="B Mitra"/>
        <charset val="178"/>
      </rPr>
      <t xml:space="preserve"> (بر اساس حجم عملیات)</t>
    </r>
  </si>
  <si>
    <t>حجم عملیات در سال های برنامه ششم</t>
  </si>
  <si>
    <t>هزار نوبت مایه کوبی</t>
  </si>
  <si>
    <t>بازدید نمونه برداری</t>
  </si>
  <si>
    <t xml:space="preserve"> /افزایش ارزیابی مخاطرات فراورده های دامی، خوراک دام، دارو و فراورده هاي بيولوژيك از تعداد 50 مورد ارزیابی تا 200 مورد ارزیابی در پایان برنامه</t>
  </si>
  <si>
    <t>/توسعه آزمایشگاه های مرجع منطقه ای کنترل کیفی فراورده های دامی، خوراک دام در پنج منطقه تا پایان برنامه
/توسعه كمي و كيفي آزمون های تشخيصی و كنترل كيفي دامپزشكي 25 درصد نسبت به سال پایه تا پایان برنامه
/اعتبار بخشی آزمون های تشخيصی و كنترل كيفي فراورده های دامی، خوراک دام، دارو و فراورده هاي بيولوژيك از تعداد 25 درصد آزمون در سال پایه به 100 درصد آزمون در
 پایان برنامه</t>
  </si>
  <si>
    <t xml:space="preserve"> مورد بازرسی</t>
  </si>
  <si>
    <t>بازدید ممیزی ارزیابی</t>
  </si>
  <si>
    <t>نفر/ساعت</t>
  </si>
  <si>
    <t>/افزایش تعداد شاغلین بخش غیر دولتی دامپزشکی در شهرستان ها و مناطق کمتر توسعه یافته با جمعیت 100000 واحد دامی از تعداد 10100 نفر در سال پایه به 12000 نفر در پایان برنامه
 /افزایش درمانگاه های دامپزشکی ویژه مناطق روستایی و عشایری  از تعداد 0  واحد در سال پایه به 500 واحد در پایان برنامه</t>
  </si>
  <si>
    <t xml:space="preserve"> مورد بازرسی و نظارت</t>
  </si>
  <si>
    <t>هزار مورد کاربری سامانه</t>
  </si>
  <si>
    <t xml:space="preserve"> برش استانی هدف کاهش بروز بیماری های مشترک</t>
  </si>
  <si>
    <t>عملکرد سال 1393</t>
  </si>
  <si>
    <t>برآورد عملکرد سال 1394</t>
  </si>
  <si>
    <t>اهداف 5 ساله</t>
  </si>
  <si>
    <t>اهداف در افق چشم انداز</t>
  </si>
  <si>
    <t>اهداف دو ساله</t>
  </si>
  <si>
    <t>کشور</t>
  </si>
  <si>
    <t xml:space="preserve"> برش استانی هدف کاهش تلفات در گله های مرغ گوشتی و کاهش بروز بیماری ها در گله های صنعتی طیور</t>
  </si>
  <si>
    <t xml:space="preserve"> برش استانی هدف کاهش بروز بیماری ها در مزارع پرورشی آبزیان و کاهش تلفات در مزارع پرورش آبزیان</t>
  </si>
  <si>
    <t xml:space="preserve"> برش استانی هدف کاهش بروز بیماری در کلنی های زنبور عسل  و کاهش بروز بیماری در کرم ابریشم</t>
  </si>
  <si>
    <t xml:space="preserve"> برش استانی هدف کاهش بروز بیماری های واگیر دام در واحدهای اپیدمیولوژیک</t>
  </si>
  <si>
    <t xml:space="preserve"> برش استانی هدف  افزایش سطح پایش و کنترل سموم (کلره، فسفره) و فلزات سنگین (سرب، کادمیوم، جیوه، آرسنیک) در فراورده های 
دامی (دام، طیور، آبزیان) و خوراک دام در حد مجاز، افزایش سطح پایش و کنترل باقیمانده های دارویی (آنتی بیوتیک ها، هورمون ها)
 در فراورده های دامی (دام، طیور، آبزیان) و خوراک دام در حد مجاز، افزایش سطح پایش و کنترل آفلاتوکسین ها در فراورده های 
دامی (دام، طیور، آبزیان) و خوراک دام در حد مجاز</t>
  </si>
  <si>
    <t xml:space="preserve"> برش استانی هدف توسعه آزمایشگاه های مرجع منطقه ای کنترل کیفی فراورده های دامی، خوراک دام در پنج منطقه تا پایان برنامه
/توسعه كمي و كيفي آزمون های تشخيصی و كنترل كيفي دامپزشكي 25 درصد نسبت به سال پایه تا پایان برنامه
/اعتبار بخشی آزمون های تشخيصی و كنترل كيفي فراورده های دامی، خوراک دام، دارو و فراورده هاي بيولوژيك پایان برنامه</t>
  </si>
  <si>
    <t xml:space="preserve"> برش استانی هدف افزايش تعداد واحدهاي داراي گواهي هاي استقرار سامانه هاي GMP, HACCP  و ....</t>
  </si>
  <si>
    <t xml:space="preserve"> برش استانی هدف  افزايش صدور کد IR و EC و …</t>
  </si>
  <si>
    <t xml:space="preserve"> برش استانی هدف  افزايش تعداد واحدهاي داراي رتبه A </t>
  </si>
  <si>
    <t xml:space="preserve"> برش استانی هدف  افزایش میزان دامداران دارای گواهی بهداشتی آموزشی،
  افزایش میزان شاغلین دارای گواهی آموزش های بهداشتی صنایع مرتبط</t>
  </si>
  <si>
    <t xml:space="preserve">راهبرد 2-1: ارتقاء شاخص های کنترل بیماری های دام، طیور و آبزیان </t>
  </si>
  <si>
    <t xml:space="preserve"> برش استانی هدف افزایش تعداد شاغلین بخش غیر دولتی دامپزشکی در شهرستان ها
 و مناطق کمتر توسعه یافته، افزایش درمانگاه های دامپزشکی ویژه مناطق روستایی و عشایری</t>
  </si>
  <si>
    <t xml:space="preserve"> برش استانی هدف استفاده از فناوری های نوین هوشمند و افزایش تعداد کاربران سامانه های الکترونیکی سازمان </t>
  </si>
  <si>
    <t>آموزش و ترویج</t>
  </si>
  <si>
    <t>برنامه اجرایی</t>
  </si>
  <si>
    <t>پوشش بهداشتی دام، طیور و آبزیان در برابر بیماری ها</t>
  </si>
  <si>
    <t>توسعه دولت الکترونیک</t>
  </si>
  <si>
    <t>پیشگیری و کنترل بیماری های مشترک انسان و دام</t>
  </si>
  <si>
    <t>کنترل کیفی و بهداشتی تولیدات خام دامی و شیلاتی</t>
  </si>
  <si>
    <t>پیشگیری و کنترل بیماری های دام، طیور و آبزیان</t>
  </si>
  <si>
    <t xml:space="preserve">نظارت بر دارو، درمان و تشخیص بیماری ها </t>
  </si>
  <si>
    <t>نرخ تسهیم برنامه اجرایی استان ها</t>
  </si>
  <si>
    <t>نرخ تسهیم هدف کمی</t>
  </si>
  <si>
    <t>نرخ تسهیم هدف کلی</t>
  </si>
  <si>
    <t xml:space="preserve"> برش استانی هدف افزايش تعداد ناوگان اختصاصي و بهداشتي حمل و نقل</t>
  </si>
  <si>
    <t xml:space="preserve"> همسان سازي عمليات/فعالیت  افزایش میزان دامداران دارای گواهی بهداشتی آموزشی،
  افزایش میزان شاغلین دارای گواهی آموزش های بهداشتی صنایع مرتبط</t>
  </si>
  <si>
    <t>عنوان عملیات/ فعالیت</t>
  </si>
  <si>
    <t>ضريب تبديل</t>
  </si>
  <si>
    <t>سطح كارشناسي</t>
  </si>
  <si>
    <t>ضریب مساحت</t>
  </si>
  <si>
    <t>ضریب مسافت</t>
  </si>
  <si>
    <t>حجم عمليات بخش دولتی</t>
  </si>
  <si>
    <t>حجم عمليات بخش خصوصی</t>
  </si>
  <si>
    <t>ارزش وزني
بخش دولتی</t>
  </si>
  <si>
    <t>ارزش وزني
بخش خصوصی</t>
  </si>
  <si>
    <t>دكتري تخصصي</t>
  </si>
  <si>
    <t>دكتري عمومي</t>
  </si>
  <si>
    <t>كارشناس</t>
  </si>
  <si>
    <t>كاردان</t>
  </si>
  <si>
    <t>تخصص</t>
  </si>
  <si>
    <t>دکتری</t>
  </si>
  <si>
    <t>کارشناس</t>
  </si>
  <si>
    <t>کاردان</t>
  </si>
  <si>
    <t>ضریب مسافت د</t>
  </si>
  <si>
    <t>ضریب مسافت خ</t>
  </si>
  <si>
    <t>خودرو د</t>
  </si>
  <si>
    <t>خودرو خ</t>
  </si>
  <si>
    <t>تهيه نرم افزارهاي آموزشي ( فيلم - دقیقه)</t>
  </si>
  <si>
    <t>تهيه محتوي نرم افزارهاي آموزشي ( تراكت )</t>
  </si>
  <si>
    <t>فرایند صدور گواهی</t>
  </si>
  <si>
    <t>كميت سنجه عملكرد همسان شده :</t>
  </si>
  <si>
    <t>ساعت/نفر</t>
  </si>
  <si>
    <t>شاخص سنجه عملکرد</t>
  </si>
  <si>
    <t>(بخش دولتی)</t>
  </si>
  <si>
    <t>(بخش غیر دولتی)</t>
  </si>
  <si>
    <t xml:space="preserve"> همسان سازي عمليات/فعالیت افزایش تعداد شاغلین بخش غیر دولتی دامپزشکی در شهرستان ها و مناطق
 کمتر توسعه یافته با جمعیت 100000 واحد دامی، افزایش درمانگاه های دامپزشکی ویژه مناطق روستایی و عشایری</t>
  </si>
  <si>
    <t>ضریب  د</t>
  </si>
  <si>
    <t>ضریب  خ</t>
  </si>
  <si>
    <t xml:space="preserve">بازديد كارشناسي جهت صدور/ تمديد/ نقل و انتقال پروانه دفتر اشتغال به امور درماني </t>
  </si>
  <si>
    <t>بازديد كارشناسي جهت صدور/ تمديد/ نقل و انتقال پروانه درمانگاه هاي عمومي، اختصاصي و تخصصي</t>
  </si>
  <si>
    <t>بازديد كارشناسي جهت صدور/ تمديد/ نقل و انتقال پروانه پلي كلينيك</t>
  </si>
  <si>
    <t>بازديد كارشناسي جهت صدور/ تمديد/ نقل و انتقال پروانه بيمارستان عمومي ، اختصاصي و تخصصي</t>
  </si>
  <si>
    <t>بازديد كارشناسي جهت صدور/ تمديد/ نقل و انتقال پروانه مركز مايه كوبي</t>
  </si>
  <si>
    <t>بازديد كارشناسي جهت صدور/ تمديد/ نقل و انتقال پروانه آزمايشگاه تشخيص دامپزشكي</t>
  </si>
  <si>
    <t>بازديد كارشناسي جهت صدور/ تمديد/ نقل و انتقال پروانه داروخانه دامپزشكي</t>
  </si>
  <si>
    <t xml:space="preserve">صدور پروانه دفتر اشتغال به امور درماني دفتر اشتغال به امور درماني </t>
  </si>
  <si>
    <t xml:space="preserve">تمديد/ نقل و انتقال پروانه دفتر اشتغال به امور درماني دفتر اشتغال به امور درماني </t>
  </si>
  <si>
    <t xml:space="preserve">صدور پروانه درمانگاه هاي عمومي ، اختصاصي و تخصصي </t>
  </si>
  <si>
    <t xml:space="preserve">تمديد/ نقل و انتقال پروانه درمانگاه هاي عمومي ، اختصاصي و تخصصي </t>
  </si>
  <si>
    <t xml:space="preserve">صدور پروانه پلي كلينيك </t>
  </si>
  <si>
    <t xml:space="preserve">تمديد/ نقل و انتقال پروانه پلي كلينيك </t>
  </si>
  <si>
    <t xml:space="preserve">صدور پروانه بيمارستان عمومي ، اختصاصي و تخصصي </t>
  </si>
  <si>
    <t xml:space="preserve">تمديد/ نقل و انتقال پروانه بيمارستان عمومي ، اختصاصي و تخصصي </t>
  </si>
  <si>
    <t xml:space="preserve">صدور پروانه مركز مايه كوبي </t>
  </si>
  <si>
    <t xml:space="preserve">تمديد/ نقل و انتقال پروانه مركز مايه كوبي </t>
  </si>
  <si>
    <t xml:space="preserve">صدور پروانه آزمايشگاه تشخيص دامپزشكي </t>
  </si>
  <si>
    <t xml:space="preserve">تمديد/ نقل و انتقال پروانه آزمايشگاه تشخيص دامپزشكي </t>
  </si>
  <si>
    <t>صدور پروانه داروخانه دامپزشكي</t>
  </si>
  <si>
    <t>تمديد/ نقل و انتقال پروانه داروخانه دامپزشكي</t>
  </si>
  <si>
    <t>بازدید و نظارت بر عملیات درمانی در محل دامداریها</t>
  </si>
  <si>
    <t>بازدید و نظارت بر بیمارستانهای عمومی، اختصاصی و تخصصی دامپزشکی</t>
  </si>
  <si>
    <t xml:space="preserve">بازدید و نظارت بر آزمایشگاههای عمومی، اختصاصی 
و تخصصی دامپزشکی </t>
  </si>
  <si>
    <t>بازدید و نظارت بر دفاتر اشتغال به امور درمانی</t>
  </si>
  <si>
    <t>بازدید و نظارت بر درمانگاههای عمومی، اختصاصی و تخصصی دامپزشکی</t>
  </si>
  <si>
    <t>بازدید و نظارت بر پلی کلینیک های اختصاصی و تخصصی</t>
  </si>
  <si>
    <t xml:space="preserve">بازدید و نظارت بر داروخانه های دامپزشكي </t>
  </si>
  <si>
    <t>پردازش و تحليل اطلاعات و تنظيم و ثبت گزارش عملكرد خدمات پیشگیری/ درمانی/ آزمایشگاهی</t>
  </si>
  <si>
    <t xml:space="preserve"> همسان سازي عمليات/فعالیت کاهش بروز بیماری ها در مزارع پرورشی آبزیان
 و کاهش تلفات در مزارع پرورش آبزیان</t>
  </si>
  <si>
    <t>بازديد و نمونه برداري از ماهي مولد خاوياری</t>
  </si>
  <si>
    <t>بازديد و نمونه برداري از لارو بچه ماهي خاوياری</t>
  </si>
  <si>
    <t>بازدید و نمونه برداری از ماهیان پرورشی خاویاری</t>
  </si>
  <si>
    <t>بازديد و نمونه برداري از آب مراكز پرورش ماهيان خاوياری</t>
  </si>
  <si>
    <t>بازديد و نمونه برداري از ماهيان مولد زينتی کشور</t>
  </si>
  <si>
    <t>بازديد و نمونه برداري زنده ماهيان دريايي پرورشی</t>
  </si>
  <si>
    <t>بازديد و نمونه برداري از ماهيان مولد دريايي پرورشی</t>
  </si>
  <si>
    <t>بازديد و نمونه برداري از لارو و بچه ماهی ماهيان دريايي پرورشی</t>
  </si>
  <si>
    <t xml:space="preserve">بازديد و نمونه برداري از ماهيان پرورشی دريايي </t>
  </si>
  <si>
    <t xml:space="preserve">بازديد و نمونه برداري آب مراکز تکثیر و پرورش ماهيان دريايي </t>
  </si>
  <si>
    <t>بازديد و نمونه برداري زنده آبزيان وحشی منابع آبی</t>
  </si>
  <si>
    <t>بازديد و نمونه برداري آب منابع آبی</t>
  </si>
  <si>
    <t xml:space="preserve">بازديد بهداشتي جهت نظارت بر آماده سازي مزارع و ارزيابي مديريت بهداشتي </t>
  </si>
  <si>
    <t xml:space="preserve">بازديد بهداشتي جهت مميزي مراكز آبزي پروري كشور در حين فعاليت </t>
  </si>
  <si>
    <t xml:space="preserve">بازديد و نمونه برداري از مولدين (وحشي و پرورشي ميگو) </t>
  </si>
  <si>
    <t xml:space="preserve">بازديد و نمونه برداري از مراكز پرورشي ميگو </t>
  </si>
  <si>
    <t xml:space="preserve">بازديد و نمونه برداري از بچه ميگوهاي توليدي در مراكز تكثير ميگو </t>
  </si>
  <si>
    <t xml:space="preserve">بازديد و نمونه برداري از آب مراكز تکثیر و پرورش ميگو </t>
  </si>
  <si>
    <t xml:space="preserve">بازديد و نمونه برداري از مولدين سردآبي </t>
  </si>
  <si>
    <t xml:space="preserve">بازديد و نمونه برداري لارو و بچه ماهي سردآبي </t>
  </si>
  <si>
    <t xml:space="preserve">بازديد و نمونه برداري از ماهیان پرورشی سردآبي </t>
  </si>
  <si>
    <t xml:space="preserve">بازديد و نمونه برداري از آب مراکز تکثیر و پرورش ماهیان سردآبي </t>
  </si>
  <si>
    <t xml:space="preserve">بازديد و نمونه برداري از مولدين ماهیان گرمابی </t>
  </si>
  <si>
    <t xml:space="preserve">بازديد و نمونه برداري لارو و بچه ماهي ماهیان گرمابی </t>
  </si>
  <si>
    <t xml:space="preserve">بازديد و نمونه برداري از ماهیان پرورشی ماهیان گرمابی </t>
  </si>
  <si>
    <t xml:space="preserve">بازديد و نمونه برداري از آب مراکز تکثیر و پرورش ماهیان گرمابی </t>
  </si>
  <si>
    <t xml:space="preserve">بازديد و نمونه برداري هاي زنده و بافتی آبزيان </t>
  </si>
  <si>
    <t xml:space="preserve">بازديد و نمونه برداري از پساب خروجي مزارع </t>
  </si>
  <si>
    <t xml:space="preserve">بازديد و نمونه برداري از توليدات پرورشي مزارع </t>
  </si>
  <si>
    <t xml:space="preserve">بازديد و نمونه برداري از رسوبات بستر مزارع </t>
  </si>
  <si>
    <t xml:space="preserve">بازديد و نمونه برداري هاي از غذا مزارع </t>
  </si>
  <si>
    <t>نظارت بر ضدعفوني نهاده هاي كانون هاي آبزي پروري (تن)</t>
  </si>
  <si>
    <t>بررسی علل تلفات دسته جمعی و همه گیری های آبزیان در منابع آبی</t>
  </si>
  <si>
    <t xml:space="preserve"> نظارت بر عمليات كاربرد مواد پروبيوتيك ، ايمونواستيمولنت ها ، مايه كوبي و ... در مزارع تكثير و پرورش آبزيان</t>
  </si>
  <si>
    <t xml:space="preserve"> نظارت برحذف و معدوم سازی کانون های آلوده  آبزي پروري</t>
  </si>
  <si>
    <t xml:space="preserve"> نظارت برحذف و معدوم سازی نهاده های کانون های آلوده آبزي پروري (تن)</t>
  </si>
  <si>
    <t>نظارت بر پاکسازی، سوزاندن لوازم و تجهيزات غير دائمي و محوطه آبزي پروري</t>
  </si>
  <si>
    <t xml:space="preserve"> استقرار قرنطينه سيار </t>
  </si>
  <si>
    <t xml:space="preserve"> قرنطینه کانون مشکوک و  آلوده </t>
  </si>
  <si>
    <t xml:space="preserve"> بازديد و نظارت بهداشتي از سايت هاي ضدعفوني خودروهاي حمل دام زنده ،فراورده هاي خام دامي و نهاده ها</t>
  </si>
  <si>
    <t xml:space="preserve"> بازديد و نظارت بر پست قرنطينه</t>
  </si>
  <si>
    <t xml:space="preserve"> فعاليت هيئت تقويم بها و نظارت بر حذف کانون های آلوده</t>
  </si>
  <si>
    <t xml:space="preserve"> بررسي مستندات و پرداخت غرامت کانون های آلوده</t>
  </si>
  <si>
    <t xml:space="preserve"> توزيع مواد ضد عفونی مورد نياز در مراکز آبزی پروری (لیتر)</t>
  </si>
  <si>
    <t xml:space="preserve"> ضدعفوني اماكن آبزی پروری (متر مربع)  </t>
  </si>
  <si>
    <t xml:space="preserve"> ضدعفوني وسائط نقلیه سبک </t>
  </si>
  <si>
    <t xml:space="preserve"> ضدعفوني وسائط نقلیه سنگین </t>
  </si>
  <si>
    <t xml:space="preserve"> بازديد ميداني و نظارت بر عمليات ضد عفونی كانون بیماری</t>
  </si>
  <si>
    <t xml:space="preserve">بررسي اپيدميولوژيك بيماري وقوع بیماری/ عوامل خطر و تنظيم، ثبت و گزارش وقایع مرتبط با بيماري ها </t>
  </si>
  <si>
    <t>استقرار سیستم حمل و نقل نمونه ها ي سرمي (نمونه)</t>
  </si>
  <si>
    <t>استقرار سیستم حمل و نقل نمونه ها ي بافتي (نمونه)</t>
  </si>
  <si>
    <t>استقرار سیستم حمل و نقل نمونه ها/ نهاده ها (نمونه)</t>
  </si>
  <si>
    <t xml:space="preserve"> انجام امور مربوط به بیمه دام</t>
  </si>
  <si>
    <t xml:space="preserve"> بازدید نمونه برداری</t>
  </si>
  <si>
    <t xml:space="preserve"> همسان سازي عمليات/فعالیت کاهش بروز بیماری در کلنی های زنبور عسل 
 و کاهش بروز بیماری در کرم ابریشم</t>
  </si>
  <si>
    <t xml:space="preserve"> بازديد و نمونه برداري از زنبورستان تا 150 كلني</t>
  </si>
  <si>
    <t xml:space="preserve"> بازديد و نمونه برداري از زنبورستان از 150 تا 300 كلني</t>
  </si>
  <si>
    <t xml:space="preserve">بازديد و نمونه برداري از زنبورستان از 300 كلني به بالا </t>
  </si>
  <si>
    <t xml:space="preserve"> بازديد و نمونه برداري از نوغانستان تا 3 تلمبار</t>
  </si>
  <si>
    <t xml:space="preserve"> بازديد و نمونه برداري از نوغانستان از 3 تا 7 تلمبار</t>
  </si>
  <si>
    <t xml:space="preserve"> بازديد و نمونه برداري از نوغانستان از 7 تلمبار به بالا</t>
  </si>
  <si>
    <t xml:space="preserve"> بازدید/ نمونه برداری</t>
  </si>
  <si>
    <t xml:space="preserve"> همسان سازي عمليات/فعالیت کاهش بروز بیماری های مشترک</t>
  </si>
  <si>
    <t xml:space="preserve"> مايه كوبي FDREV1</t>
  </si>
  <si>
    <t>مايه كوبي RDREV1</t>
  </si>
  <si>
    <t xml:space="preserve"> مايه كوبي FDRB51</t>
  </si>
  <si>
    <t xml:space="preserve"> مايه كوبي RDRB51</t>
  </si>
  <si>
    <t xml:space="preserve">  مايه كوبي هاري در سگ و ساير حيوانات</t>
  </si>
  <si>
    <t xml:space="preserve"> خوراندن داروي ضد انگل سگ</t>
  </si>
  <si>
    <t>استقرار سیستم زنجیره سرد توزيع واکسن های مورد نياز در محل روستا يا دامداري (هزار دز)</t>
  </si>
  <si>
    <t xml:space="preserve"> خونگيري از گاو</t>
  </si>
  <si>
    <t xml:space="preserve"> خونگيري از گوسفند و بز</t>
  </si>
  <si>
    <t xml:space="preserve"> تست سل (توبركوليناسيون)</t>
  </si>
  <si>
    <t xml:space="preserve"> تست سل (قرائت)</t>
  </si>
  <si>
    <t xml:space="preserve"> آزمايش مشمشه (قرائت)</t>
  </si>
  <si>
    <t xml:space="preserve"> معدوم سازي دام راكتور مشمشه</t>
  </si>
  <si>
    <t xml:space="preserve"> داغگذاري و اعزام دام راكتور به كشتارگاه (كانون) </t>
  </si>
  <si>
    <t xml:space="preserve"> فعاليت هيئت تقويم بها و نظارت بر كشتار گاوهاي راكتور (راس)</t>
  </si>
  <si>
    <t xml:space="preserve"> بررسي مستندات و پرداخت غرامت دامهاي راكتور (گاو، گوساله، تك سمي)</t>
  </si>
  <si>
    <t xml:space="preserve"> بررسي مستندات و پرداخت غرامت دامهاي راكتور گوسفند و بز</t>
  </si>
  <si>
    <t xml:space="preserve"> بررسي مستندات و پرداخت غرامت دامهاي راكتور هاری</t>
  </si>
  <si>
    <t xml:space="preserve"> ضدعفوني كانون بیماری های مشترک (متر مربع)</t>
  </si>
  <si>
    <t>نظارت بر ضدعفوني كانون بیماری های مشترک (کانون)</t>
  </si>
  <si>
    <t>نظارت بر ضدعفوني نهاده هاي كانون بیماری های مشترک (تن)</t>
  </si>
  <si>
    <t>سم پاشي اماكن دامي برنامه پیشگیری و مبارزه با بیماریهای مشترک انسان و دام (متر مربع)</t>
  </si>
  <si>
    <t xml:space="preserve"> ضدعفوني اماكن دامي (متر مربع)  </t>
  </si>
  <si>
    <t xml:space="preserve"> بازديد ميداني و نظارت بر عمليات ضد عفونی/سمپاشي جايگاه دام برنامه پیشگیری و مبارزه با بیماریهای مشترک انسان و دام</t>
  </si>
  <si>
    <t xml:space="preserve"> توزيع سموم مورد نياز دامي در محل روستا يا دامداري (لیتر)</t>
  </si>
  <si>
    <t xml:space="preserve"> توزيع مواد ضد عفونی مورد نياز دامي در محل روستا يا دامداري (لیتر)</t>
  </si>
  <si>
    <t xml:space="preserve"> سمپاشي بدن گوسفند و بز (حمام )</t>
  </si>
  <si>
    <t xml:space="preserve"> سمپاشي بدن گوسفند و بز ( دوش دادن )</t>
  </si>
  <si>
    <t xml:space="preserve"> سمپاشي بدن گاو ( دوش دادن )</t>
  </si>
  <si>
    <t xml:space="preserve"> بازديد ميداني و نظارت بر عمليات سمپاشي بدن دام</t>
  </si>
  <si>
    <t xml:space="preserve"> بازديد کارشناسی جهت نمونه برداري تشخيصي - ازمايشگاهي از واحدهاي اپيدميولوژيك </t>
  </si>
  <si>
    <t xml:space="preserve"> بازديد ميداني و نظارت بر اكيپ هاي واكسيناسيون دام</t>
  </si>
  <si>
    <t>آزمایش سرولوژي دام (سریع)</t>
  </si>
  <si>
    <t xml:space="preserve"> همسان سازي عمليات/فعالیت کاهش بروز بیماری های واگیر دام در واحدهای اپیدمیولوژیک</t>
  </si>
  <si>
    <t xml:space="preserve"> مايه كوبي آبله  گوسفند و بز</t>
  </si>
  <si>
    <t xml:space="preserve">  مايه كوبي تب برفكي گاو</t>
  </si>
  <si>
    <t xml:space="preserve">  مايه كوبي تب برفكي گوسفند و بز</t>
  </si>
  <si>
    <t xml:space="preserve"> مايه كوبي شاربن گوسفند و بز</t>
  </si>
  <si>
    <t xml:space="preserve"> مايه كوبي شاربن گاو</t>
  </si>
  <si>
    <t>مايه كوبي شاربن شتر</t>
  </si>
  <si>
    <t xml:space="preserve">مايه كوبي شاربن تك سمي ها </t>
  </si>
  <si>
    <t xml:space="preserve"> مايه كوبي لمپی اسکین</t>
  </si>
  <si>
    <t>مایه کوبی لپتوسپيروز گاو</t>
  </si>
  <si>
    <t>مایه کوبی پاستورولوز گوسفند و بز</t>
  </si>
  <si>
    <t>مایه کوبی پاستورولوز گاو</t>
  </si>
  <si>
    <t>مایه کوبی پاستورولوز شتر</t>
  </si>
  <si>
    <t>مایه کوبی پلوروپنوموني واگير بزان</t>
  </si>
  <si>
    <t>مایه کوبی شاربن علامتي گاو</t>
  </si>
  <si>
    <t>مایه کوبی شاربن علامتي گوسفند و بز</t>
  </si>
  <si>
    <t>مایه کوبی هپاتيت نكروزان</t>
  </si>
  <si>
    <t>مایه کوبی زبان آبي</t>
  </si>
  <si>
    <t>مایه کوبی آنتروتوكسمي گاو</t>
  </si>
  <si>
    <t>مایه کوبی آنتروتوكسمي گوسفند و بز</t>
  </si>
  <si>
    <t>مایه کوبی آگالاکسی</t>
  </si>
  <si>
    <t>مایه کوبی تب بي‌دوام گاوي</t>
  </si>
  <si>
    <t>مایه کوبی تیلریوز</t>
  </si>
  <si>
    <t xml:space="preserve"> مايه كوبي طاعون گاو</t>
  </si>
  <si>
    <t>مايه كوبي آنفلوانزاي اسبي</t>
  </si>
  <si>
    <t>مايه كوبي كزاز  اسب</t>
  </si>
  <si>
    <t xml:space="preserve"> مايه كوبيppr  گوسفند و بز</t>
  </si>
  <si>
    <t>خوراندن داروي ضد انگل گوسفند و بز</t>
  </si>
  <si>
    <t>خوراندن داروي ضد انگل گاو و گاوميش</t>
  </si>
  <si>
    <t xml:space="preserve"> خوراندن داروي ضد انگل تك سمي ها و شتر</t>
  </si>
  <si>
    <t xml:space="preserve"> بازديد ميداني و نظارت بر عمليات  خوراندن داروي ضد انگل</t>
  </si>
  <si>
    <t xml:space="preserve"> بازديد و نمونه برداري به منظور آزمايش EPG</t>
  </si>
  <si>
    <t xml:space="preserve"> توزيع داروی ضد انگلی مورد نياز دامي در محل روستا يا دامداري (لیتر)</t>
  </si>
  <si>
    <t xml:space="preserve">سم پاشي اماكن دامي </t>
  </si>
  <si>
    <t xml:space="preserve"> بازديد ميداني و نظارت بر عمليات سمپاشي جايگاه دام </t>
  </si>
  <si>
    <t xml:space="preserve"> نظارت بر حذف و معدوم سازی نهاده های کانون های آلوده (تن)</t>
  </si>
  <si>
    <t>نظارت بر پاکسازی، سوزاندن لوازم و تجهيزات غير دائمي و محوطه کانون</t>
  </si>
  <si>
    <t xml:space="preserve"> توزيع مواد ضد عفونی مورد نياز در محل روستا يا دامداری (لیتر)</t>
  </si>
  <si>
    <t>نظارت بر ضدعفوني نهاده هاي كانون بیماری (تن)</t>
  </si>
  <si>
    <t>(بخش خرید خدمت)</t>
  </si>
  <si>
    <t xml:space="preserve"> همسان سازي عمليات/فعالیت  افزایش سطح پایش و کنترل سموم (کلره، فسفره) و فلزات سنگین (سرب، کادمیوم، جیوه، آرسنیک)
 در فراورده های دامی (دام، طیور، آبزیان) و خوراک دام در حد مجاز تا پایان برنامه، افزایش سطح پایش و کنترل باقیمانده های دارویی (آنتی بیوتیک ها، هورمون ها)
 در فراورده های دامی (دام، طیور، آبزیان) و خوراک دام در حد مجاز تا پایان برنامه، افزایش سطح پایش و کنترل آفلاتوکسین ها
 در فراورده های دامی (دام، طیور، آبزیان) و خوراک دام در حد مجاز تا پایان برنامه</t>
  </si>
  <si>
    <t>حجم عمليات مرکز تشخیص</t>
  </si>
  <si>
    <t>بازدید نمونه برداري از مراكز بسته بندي (تخم مرغ،گوشت قرمز،مرغ،ماهي،ميگو،الايش خوراكي و الايش غير خوراكي) با توليد يك محصول</t>
  </si>
  <si>
    <t>بازدید نمونه برداري از مراكز بسته بندي (تخم مرغ،گوشت قرمز،مرغ،ماهي،ميگو،الايش خوراكي و الايش غير خوراكي) با توليد دو محصول</t>
  </si>
  <si>
    <t>بازدید نمونه برداري از مراكز بسته بندي (تخم مرغ،گوشت قرمز،مرغ،ماهي،ميگو،الايش خوراكي و الايش غير خوراكي) با توليد بيش از دو محصول</t>
  </si>
  <si>
    <t>بازدید نمونه برداري از مراكزجمع اوري شير تا ظرفيت 5 تن</t>
  </si>
  <si>
    <t>بازدید نمونه برداري از مراكزجمع اوري شير از 5 تن به بالا</t>
  </si>
  <si>
    <t>بازدید نمونه برداري ازكارخانجات توليد خوراك دام و كنسانتره يك محصولي ،كارخانجات توليد مواد اوليه يك محصولي،كارخاجات تبديل ضايعات مستقل</t>
  </si>
  <si>
    <t>بازدید نمونه برداري ازكارخانجات توليد خوراك دام و كنسانتره چند محصولي ،كارخانجات توليد مواد اوليه جند محصولي</t>
  </si>
  <si>
    <t>بازدید نمونه برداري از سردخانه مواد پروتئيني تا ظرفيت  5000 تن</t>
  </si>
  <si>
    <t>بازدید نمونه برداري از سردخانه مواد پروتئيني با ظرفيت 5000 تن به بالا</t>
  </si>
  <si>
    <t xml:space="preserve"> بازدید نمونه برداري از كشتارگاه طيور (تا  4000 هزار قطعه در ساعت)</t>
  </si>
  <si>
    <t>بازدید نمونه برداري از كشتارگاه طيور (از  4000 هزار قطعه در ساعت به بالا)</t>
  </si>
  <si>
    <t>بازدید نمونه برداري از كشتارگاه دام سنتي</t>
  </si>
  <si>
    <t>بازدید نمونه برداري از كشتارگاه دام صنعتي با واحد بسته بندي گوشت و الايش</t>
  </si>
  <si>
    <t>بازدید نمونه برداري ازكشتارگاه دام صنعتي با واحد بسته بندي گوشت و الايش، تونل انجماد و تبديل ضايعات</t>
  </si>
  <si>
    <t>بازدید نمونه برداري از مراكز عرضه فراورده هاي خام دامي</t>
  </si>
  <si>
    <t>بازدید نمونه برداري از زنبورستان</t>
  </si>
  <si>
    <t xml:space="preserve">  استقرار سیستم حمل و نقل نمونه ها ي بافتي (نمونه)</t>
  </si>
  <si>
    <t xml:space="preserve">  استقرار سیستم حمل و نقل نمونه ها/ نهاده ها (نمونه)</t>
  </si>
  <si>
    <t>بازدید نمونه برداري از مرغداری ها</t>
  </si>
  <si>
    <t xml:space="preserve"> بازديد نمونه برداري از آبزی پروری</t>
  </si>
  <si>
    <t xml:space="preserve">بازدید/نمونه برداری </t>
  </si>
  <si>
    <t>(بخش خصوصی)</t>
  </si>
  <si>
    <t xml:space="preserve"> همسان سازي عمليات/فعالیت توسعه آزمایشگاه های مرجع منطقه ای کنترل کیفی فراورده های دامی، خوراک دام
 در پنج منطقه تا پایان برنامه /توسعه كمي و كيفي آزمون های تشخيصی و كنترل كيفي دامپزشكي 25 درصد نسبت به سال پایه
 تا پایان برنامه /اعتبار بخشی آزمون های تشخيصی و كنترل كيفي فراورده های دامی، خوراک دام، دارو و فراورده هاي بيولوژيك</t>
  </si>
  <si>
    <t>آزمایش خون شناسي</t>
  </si>
  <si>
    <t>آزمایش بيوشيمي/شیمی فیزیک</t>
  </si>
  <si>
    <t>آزمایش باقيمانده ها</t>
  </si>
  <si>
    <t>آزمایش سم شناسي</t>
  </si>
  <si>
    <t>آزمایش انگل شناسي</t>
  </si>
  <si>
    <t>آزمایش كنترل كيفي/ آناليز شيمي</t>
  </si>
  <si>
    <t xml:space="preserve"> آزمایش كنترل كيفي/ كشت ميكروبي</t>
  </si>
  <si>
    <t>آزمایش سرولوژي دام</t>
  </si>
  <si>
    <t xml:space="preserve">آزمایش سرولوژي طيور </t>
  </si>
  <si>
    <t>آزمایش سرولوژي طيور (سریع)</t>
  </si>
  <si>
    <t>آزمایش جداسازی ویروس با استفاده از کشت سلول</t>
  </si>
  <si>
    <t>آزمایش  PCR</t>
  </si>
  <si>
    <t xml:space="preserve"> RT-PCR  آزمایش</t>
  </si>
  <si>
    <t xml:space="preserve"> Real-Time -RT.PCR آزمایش</t>
  </si>
  <si>
    <t>آزمایش ميكروبي مرضي</t>
  </si>
  <si>
    <t>آزمايش اسمير</t>
  </si>
  <si>
    <t>تزريق به حيوان آزمايشگاهي</t>
  </si>
  <si>
    <t>تعین سکانس ژنی ویروس</t>
  </si>
  <si>
    <t>انجام تست پتنسی</t>
  </si>
  <si>
    <t xml:space="preserve">انجام تست سلامتی ( در  آزمایشگاه و در روی حیوانات ) </t>
  </si>
  <si>
    <t>انجام تست استریلیتی</t>
  </si>
  <si>
    <t>آزمون كارايي</t>
  </si>
  <si>
    <t>آزمون بي خطري</t>
  </si>
  <si>
    <t xml:space="preserve">انجام برآورد R-VALUE با استفاده از آزمایش دو بعدی خنثی سازی ویروس </t>
  </si>
  <si>
    <t>انجام برآورد R-VALUE با استفاده از روش LPBE</t>
  </si>
  <si>
    <t>ایجاد بیو بانک</t>
  </si>
  <si>
    <t>بررسی آسیب شناسی</t>
  </si>
  <si>
    <t>تدوين SOP براي انجام آزمايش هاي تشخيص بيماري</t>
  </si>
  <si>
    <t>آموزش کارکنان (آمار و تضمین کیفیت نتایج آزمون)(ساعت/نفر)</t>
  </si>
  <si>
    <t xml:space="preserve"> همسان سازي عمليات/فعالیت  افزايش تعداد واحدهاي داراي رتبه A </t>
  </si>
  <si>
    <t>بازدید ممیزی، ارزیابی و رتبه بندی مراکز خدمات پیشگیری، درمانی، تشخیصی دامپزشکی</t>
  </si>
  <si>
    <t>بازدید ممیزی، ارزیابی و رتبه بندی اماکن دامی</t>
  </si>
  <si>
    <t>بازدید ممیزی، ارزیابی و رتبه بندی صنایع وابسته به دام</t>
  </si>
  <si>
    <t>بازدید ممیزی، ارزیابی و رتبه بندی مراکز تولید دارو ، سم ، مكمل ، ضدعفوني ، واكسن و .....</t>
  </si>
  <si>
    <t xml:space="preserve"> بازديد کارشناسی جهت نمونه برداري تشخيصي - ازمايشگاهي از واحدهاي تحت پوشش</t>
  </si>
  <si>
    <t>صدور گواهی رتبه بندی مراکز خدمات پیشگیری، درمانی، تشخیصی دامپزشکی</t>
  </si>
  <si>
    <t>صدور گواهی رتبه بندی اماکن دامی</t>
  </si>
  <si>
    <t>صدور گواهی رتبه بندی صنایع وابسته به دام</t>
  </si>
  <si>
    <t>صدور گواهی رتبه بندی مراکز تولید دارو ، سم ، مكمل ، ضدعفوني ، واكسن و .....</t>
  </si>
  <si>
    <t>تهيه اخبار (بولتن) واحدهای رتبه بندی</t>
  </si>
  <si>
    <t>بازدید ممیزی/ارزیابی</t>
  </si>
  <si>
    <t xml:space="preserve"> همسان سازي عمليات/فعالیت افزايش تعداد واحدهاي داراي گواهي هاي استقرار سامانه هاي GMP, HACCP  و ....</t>
  </si>
  <si>
    <t xml:space="preserve"> صدور مجوز تاسيس مراكز توليد ( دارو ، سم ، مكمل ، ضدعفوني ، واكسن و .....)</t>
  </si>
  <si>
    <t xml:space="preserve"> صدور مجوز بهره برداري مراكز توليد ( دارو ، سم ، مكمل ، ضدعفوني ، واكسن و .....)</t>
  </si>
  <si>
    <t xml:space="preserve"> تجديد/ تمديد مجوز تاسيس/ بهره برداري مراكز توليد ( دارو ، سم ، مكمل ، ضدعفوني ، واكسن و .....)</t>
  </si>
  <si>
    <t xml:space="preserve"> صدور مجوز تاسيس مراكز پخش ، توزيع ، نگهداري دارو، واكسن و ...</t>
  </si>
  <si>
    <t xml:space="preserve"> صدور مجوز بهره برداري مراكز پخش ، توزيع ، نگهداري دارو، واكسن و ...</t>
  </si>
  <si>
    <t xml:space="preserve"> تجديد/ تمديد مجوز بهره برداري مراكز پخش ، توزيع ، نگهداري دارو، واكسن و ...</t>
  </si>
  <si>
    <t xml:space="preserve"> صدور/ تجديد/ تمديد مجوز خودرو حمل دارو در مراكز تولید، پخش ، توزيع ، نگهداري ، فروش </t>
  </si>
  <si>
    <t>صدور پروانه مسئول فني كار خانه تولید ( دارو ، سم ، مكمل ، ضدعفوني ، واكسن و .....) و مراکز پخش ، توزيع ، نگهداري و عرضه</t>
  </si>
  <si>
    <t>بازديد كارشناسي جهت صدور مجوز تاسيس مراكز توليد ( دارو ، سم ، مكمل ، ضدعفوني ، واكسن و .....)</t>
  </si>
  <si>
    <t>بازديد كارشناسي جهت صدور مجوز بهره برداري مراكز توليد ( دارو ، سم ، مكمل ، ضدعفوني ، واكسن و .....)</t>
  </si>
  <si>
    <t>بازديد كارشناسي جهت تجديد / تمديد مجوز بهره برداري مراكز توليد ( دارو ، سم ، مكمل ، ضدعفوني ، واكسن و .....)</t>
  </si>
  <si>
    <t>بازديد كارشناسي جهت صدور مجوز تاسيس مراكز پخش ، توزيع ، نگهداري دارو، واكسن و ...</t>
  </si>
  <si>
    <t>بازديد كارشناسي جهت صدور مجوز بهره برداري مراكز پخش ، توزيع ، نگهداري دارو، واكسن و ...</t>
  </si>
  <si>
    <t>بازديد كارشناسي جهت تجديد / تمديد مجوز بهره برداري مراكز پخش ، توزيع ، نگهداريدارو، واكسن و ...</t>
  </si>
  <si>
    <t xml:space="preserve">بازديد كارشناسي جهت صدور مجوز خودرو حمل دارو در مراكز تولید، پخش، توزيع ، نگهداري ، فروش </t>
  </si>
  <si>
    <t xml:space="preserve"> بازرسي و نمونه برداري از مراكز توليد ( دارو ، سم ، مكمل ، ضدعفوني ، واكسن و .....) و ارسال نمونه به آزمايشگاه هاي معتبر و پيگيري جواب تا حصول نتيجه</t>
  </si>
  <si>
    <t>بازرسي از مراكز توليد در خصوص رعايت و اعمال ضوابط روش بهينه توليد GMP ( دارو ، سم ، مكمل ، ضدعفوني ، واكسن و ...) و پيگيري رفع نواقص آن ها</t>
  </si>
  <si>
    <t xml:space="preserve"> امحاء دارو، سموم و ... غير قابل مصرف (تن)</t>
  </si>
  <si>
    <t>تنظيم ، ارسال ، پيگيري و دريافت احكام قضايي</t>
  </si>
  <si>
    <t xml:space="preserve"> بازديد کارشناسی و نظارت بهداشتی اماكن دامي (در حال تاسيس) </t>
  </si>
  <si>
    <t xml:space="preserve"> بازديد کارشناسی و نظارت بهداشتی اماكن دامي (در حال بهره برداری)</t>
  </si>
  <si>
    <t xml:space="preserve"> پلمب واحد هاي غير بهداشتي و غير مجاز اماكن دامي</t>
  </si>
  <si>
    <t xml:space="preserve"> فك پلمب واحد هاي غير بهداشتي و غير مجاز اماكن دامي</t>
  </si>
  <si>
    <t xml:space="preserve">فرایند صدور مجوز/ پروانه تاسیس/ بهره برداری اماكن دامي </t>
  </si>
  <si>
    <t>فرایند تمدید مجوز/ پروانه تاسیس/ بهره برداری اماكن دامي</t>
  </si>
  <si>
    <t xml:space="preserve"> بازرسي بهداشتي قبل از كشتار دام سبك ( كشتارگاه دام )</t>
  </si>
  <si>
    <t xml:space="preserve"> بازرسي بهداشتي قبل از كشتار دام سنگين ( كشتارگاه دام )</t>
  </si>
  <si>
    <t xml:space="preserve"> بازديد و نظارت بهداشتي و يا نمونه برداري از مراكز بسته بندي (تخم مرغ، گوشت قرمز، مرغ، ماهي، ميگو، الايش خوراكي و  الايش غير خوراكي) با توليد يك محصول</t>
  </si>
  <si>
    <t xml:space="preserve"> بازديد و نظارت بهداشتي و يا نمونه برداري از مراكز بسته بندي (تخم مرغ،گوشت قرمز، مرغ، ماهي، ميگو، الايش خوراكي و الايش غير خوراكي) با توليد دو محصول</t>
  </si>
  <si>
    <t xml:space="preserve"> بازديد و نظارت بهداشتي و يا نمونه برداري از مراكز بسته بندي(تخم مرغ، گوشت قرمز، مرغ، ماهي، ميگو، الايش خوراكي و الايش غير خوراكي) با توليد بيش از دو محصول</t>
  </si>
  <si>
    <t xml:space="preserve"> بازديد و نظارت بهداشتي و يا نمونه برداري از مراكز جمع اوري شير تا ظرفيت 5 تن</t>
  </si>
  <si>
    <t xml:space="preserve"> بازديد و نظارت بهداشتي و يا نمونه برداري از مراكزجمع اوري شير از5 تن به بالا</t>
  </si>
  <si>
    <t xml:space="preserve"> بازديد و نظارت بهداشتي ازكارگاههاي عمل اوري (پشم،كرك، پر شوئي، كودخشك كني، پوست و سالامبورو ...)</t>
  </si>
  <si>
    <t xml:space="preserve"> بازديد و نظارت بهداشتي و يا نمونه برداري ازكشتارگاه طيور (از  4000 هزار قطعه در ساعت به بالا)</t>
  </si>
  <si>
    <t xml:space="preserve"> صدور مجوز تاسيس صنایع وابسته به گوشت (کشتارگاه ها، کارخانجات خوراک دام، کارگاه بسته بندی، کارگاه فراوری، سردخانه، عمل آوری و ....)</t>
  </si>
  <si>
    <t xml:space="preserve"> صدور مجوز بهره برداري صنایع وابسته به گوشت (کشتارگاه ها، کارخانجات خوراک دام، کارگاه بسته بندی، کارگاه فراوری، سردخانه، عمل آوری و ....)</t>
  </si>
  <si>
    <t xml:space="preserve"> تجديد/ تمديد مجوز تاسيس/ بهره برداري صنایع وابسته به گوشت (کشتارگاه ها، کارخانجات خوراک دام، کارگاه بسته بندی، کارگاه فراوری، سردخانه، عمل آوری و ....)</t>
  </si>
  <si>
    <t>بازديد و نظارت بهداشتي و يا نمونه برداري از مراكز فرآوري غير خوراكي</t>
  </si>
  <si>
    <t xml:space="preserve"> امحاء فرآورده هاي خام دامي غير قابل مصرف (تن)</t>
  </si>
  <si>
    <t xml:space="preserve"> بازديد و نظارت بهداشتي از مراكز عرضه فراورده هاي خام دامي ، پرندگان زينتي ، ابزيان زينتي</t>
  </si>
  <si>
    <t xml:space="preserve"> بازديد و نظارت بهداشتي از انبارهاي نگهداري  </t>
  </si>
  <si>
    <t xml:space="preserve"> بازديد و نظارت بهداشتي از ا اسكله ها و بنادر</t>
  </si>
  <si>
    <t>(بخش خصوصی و تعاونی)</t>
  </si>
  <si>
    <t xml:space="preserve"> همسان سازي عمليات/فعالیت افزايش صدور کد IR و EC و ...</t>
  </si>
  <si>
    <t xml:space="preserve"> بازدید و نمونه برداري جهت صدور کد IR.QIN</t>
  </si>
  <si>
    <t xml:space="preserve"> بازدید و نمونه برداري جهت صدور کد EC</t>
  </si>
  <si>
    <t xml:space="preserve"> بازدید و نمونه برداري جهت صدور کد IR</t>
  </si>
  <si>
    <t xml:space="preserve"> بازدید و نمونه برداري جهت صدور کد صادراتی مراكز توليد  دارو ، سم ، مكمل ، ضدعفوني ، واكسن و .....</t>
  </si>
  <si>
    <t>فرایند صدور کد IR،EC،IR.QIN</t>
  </si>
  <si>
    <t xml:space="preserve"> فرایند صدور کد EC</t>
  </si>
  <si>
    <t>فرایند صدور کد IR</t>
  </si>
  <si>
    <t>فرایند صدور کد صادراتی مراكز توليد  دارو ، سم ، مكمل ، ضدعفوني ، واكسن و .....</t>
  </si>
  <si>
    <t xml:space="preserve"> بازديد و نظارت بهداشتي وسايل حمل فراورده هاي خام دامي، دام زنده، شناورهاي صيادي (سنگين )</t>
  </si>
  <si>
    <t xml:space="preserve"> بازديد و نظارت بهداشتي وسايل حمل فراورده هاي خام دامي،شناورهاي صيادي (سبك )</t>
  </si>
  <si>
    <t xml:space="preserve"> بازديد و نظارت بهداشتي وسايل حمل دارو ، سم ، مكمل ، ضدعفوني ، واكسن و ..... (سنگين )</t>
  </si>
  <si>
    <t xml:space="preserve"> بازديد و نظارت بهداشتي وسايل حمل دارو ، سم ، مكمل ، ضدعفوني ، واكسن و ..... (سبك )</t>
  </si>
  <si>
    <t xml:space="preserve"> همسان سازي عمليات/فعالیت  استفاده از فناوری های نوین هوشمند
و افزایش تعداد کاربران سامانه های الکترونیکی سازمان </t>
  </si>
  <si>
    <t>پردازش و تحليل اطلاعات و تنظيم و ثبت گزارش عملكرد و گزارش گيري از سامانه یکپارچه قرنطینه</t>
  </si>
  <si>
    <t xml:space="preserve">تهيه اخبار (بولتن) محموله های بین استانی/ ترانزیتی/ وارداتی/ صادراتی </t>
  </si>
  <si>
    <t xml:space="preserve"> وارد كردن داده ها و اطلاعات در سامانه G.I.S و ارسال گزارش عملكرد  به مراجع ذي ربط</t>
  </si>
  <si>
    <t>پردازش و تحليل اطلاعات و تنظيم و ثبت گزارش عملكرد بخش و گزارش گيري از سيستم G.I.S</t>
  </si>
  <si>
    <t>تهيه اخبار مراقبت وقایع مرتبط با بیماری/عوامل خطر</t>
  </si>
  <si>
    <t xml:space="preserve"> وارد كردن داده ها و اطلاعات در سامانه دارویی و ارسال گزارش عملكرد  به مراجع ذي ربط</t>
  </si>
  <si>
    <t>پردازش و تحليل اطلاعات و تنظيم و ثبت گزارش عملكرد و گزارش گيري از سامانه دارویی</t>
  </si>
  <si>
    <t xml:space="preserve">تهيه اخبار مراقبت وقایع مرتبط با دارو </t>
  </si>
  <si>
    <t>پردازش و تحليل اطلاعات و تنظيم و ثبت گزارش عملكرد بخش و گزارش گيري از سامانه نظارت بهداشتي دام و فرآورده هاي دامي</t>
  </si>
  <si>
    <t>تهيه اخبار مراقبت وقایع مرتبط با نظارت بهداشتي دام و فرآورده هاي دامي</t>
  </si>
  <si>
    <t>پردازش و تحليل اطلاعات و تنظيم و ثبت گزارش عملكرد بخش و گزارش گيري از سامانه صدور مجوزها</t>
  </si>
  <si>
    <t>تهيه اخبار مراقبت وقایع مرتبط با سامانه صدور مجوزها</t>
  </si>
  <si>
    <t xml:space="preserve"> همسان سازي عمليات/فعالیت افزايش تعداد ناوگان اختصاصي و بهداشتي حمل و نقل</t>
  </si>
  <si>
    <t>صدور گواهی بهداشتی- قرنطینه ای محموله های بین شهری دام، طیور، آبزیان و فراورده های خام دامی</t>
  </si>
  <si>
    <t>صدور گواهی بهداشتی- قرنطینه ای محموله های بین استانی دام، طیور، آبزیان و فراورده های خام دامی</t>
  </si>
  <si>
    <t>صدور گواهی بهداشتی- قرنطینه ای محموله های صادراتی دام، طیور، آبزیان و فراورده های خام دامی</t>
  </si>
  <si>
    <t>صدور گواهی بهداشتی- قرنطینه ای محموله های ترانزیتی دام، طیور، آبزیان و فراورده های خام دامی</t>
  </si>
  <si>
    <t>صدور گواهی بهداشتی- قرنطینه ای محموله های محموله های وارداتی دام، طیور، آبزیان و فراورده های خام دامی</t>
  </si>
  <si>
    <t>كنترل و احراز صحت و اصالت گواهي هاي بهداشتي محموله هاي وارداتي و ترانزيتي دام، طیور، آبزیان و فراورده های خام دامی</t>
  </si>
  <si>
    <t xml:space="preserve"> بازدید و نمونه برداري محموله های صادراتی/ وارداتي/ ترانزيتي جهت صدور گواهي بهداشتي قرنطينه اي دام، طیور، آبزیان و فراورده های خام دامی</t>
  </si>
  <si>
    <t xml:space="preserve"> بازديد کارشناسی جهت صدور گواهی بهداشتی قرنطینه ای بين استاني</t>
  </si>
  <si>
    <t xml:space="preserve"> قرنطينه فرآورده هاي خام دامي ، خوراك دام و نهاده هاي مربوطه وارداتي ، صاداراتي و ترانزيتي (يكصد تن)</t>
  </si>
  <si>
    <t>قرنطينه دام وارداتي ، صاداراتي و ترانزيتي (هزار واحد دامي)</t>
  </si>
  <si>
    <t xml:space="preserve"> ضدعفوني نهاده هاي خوراك دام و فرآورده هاي خام وارداتي و ترانزيتي ( تن)</t>
  </si>
  <si>
    <t xml:space="preserve">  پست قرنطينه ثابت بين استاني (كانكس)</t>
  </si>
  <si>
    <t xml:space="preserve"> پست قرنطينه ثابت بين استاني (ساختمان)</t>
  </si>
  <si>
    <t xml:space="preserve">  پست قرنطينه ثابت مرزي (كانكس)</t>
  </si>
  <si>
    <t xml:space="preserve"> پست قرنطينه ثابت مرزي (ساختمان)</t>
  </si>
  <si>
    <t xml:space="preserve"> استقرار پست قرنطينه سيار </t>
  </si>
  <si>
    <t xml:space="preserve">صدور گواهی بهداشتی- قرنطینه ای محموله های بین شهری انواع دارو، فراورده هاي بيولوژيك و ... </t>
  </si>
  <si>
    <t xml:space="preserve">صدور گواهی بهداشتی- قرنطینه ای محموله های بین استانی انواع دارو، فراورده هاي بيولوژيك و ... </t>
  </si>
  <si>
    <t xml:space="preserve">صدور گواهی بهداشتی- قرنطینه ای محموله های صادراتی انواع دارو، فراورده هاي بيولوژيك و ... </t>
  </si>
  <si>
    <t xml:space="preserve">صدور گواهی بهداشتی- قرنطینه ای محموله های ترانزیتی انواع دارو، فراورده هاي بيولوژيك و ... </t>
  </si>
  <si>
    <t xml:space="preserve">صدور گواهی بهداشتی- قرنطینه ای محموله های محموله های وارداتی انواع دارو، فراورده هاي بيولوژيك و ... </t>
  </si>
  <si>
    <t xml:space="preserve">كنترل و احراز صحت و اصالت گواهي هاي بهداشتي محموله هاي وارداتي و ترانزيتي انواع دارو، فراورده هاي بيولوژيك و ... </t>
  </si>
  <si>
    <t xml:space="preserve"> بازدید و نمونه برداري محموله های صادراتی/ وارداتي/ ترانزيتي جهت صدور گواهي بهداشتي قرنطينه اي انواع دارو، فراورده هاي بيولوژيك و ... </t>
  </si>
  <si>
    <t xml:space="preserve"> بازديد کارشناسی جهت صدور گواهی بهداشتی قرنطینه ای بين استاني انواع دارو، فراورده هاي بيولوژيك و ... </t>
  </si>
  <si>
    <t xml:space="preserve"> بازديد و نظارت بهداشتي وسايل حمل انواع دارو، فراورده هاي بيولوژيك و ... (سنگين )</t>
  </si>
  <si>
    <t xml:space="preserve"> بازديد و نظارت بهداشتي وسايل حمل انواع دارو، فراورده هاي بيولوژيك و ... (سبک)</t>
  </si>
  <si>
    <t xml:space="preserve"> بازرسي و نمونه برداري از مبادي ورودي و خروجي و گمركات ( دارو ، سم ، مكمل ، ضدعفوني ، واكسن و .....) و ارسال نمونه به آزمايشگاه معتبر </t>
  </si>
  <si>
    <t xml:space="preserve">عمليات مربوط به PMS در خصوص بازرسي و نمونه برداري از ( دارو ، سم ، مكمل ، ضدعفوني ، واكسن و .....) و ارسال نمونه به آزمايشگاه هاي معتبر </t>
  </si>
  <si>
    <t>بررسي كارشناسي جهت صدور گواهي ثبت دارو</t>
  </si>
  <si>
    <t>بررسي و تدوين ليست داروهاي مجاز دامپزشكي</t>
  </si>
  <si>
    <t xml:space="preserve"> هزار محموله</t>
  </si>
  <si>
    <t xml:space="preserve"> همسان سازي عمليات/فعالیت کاهش تلفات در گله های مرغ گوشتی
 و کاهش بروز بیماری ها در گله های صنعتی طیور</t>
  </si>
  <si>
    <t xml:space="preserve"> مايه كوبي تزریقی طیور بومی</t>
  </si>
  <si>
    <t xml:space="preserve">نمونه برداري و كنترل ويژگي هاي فيزيكو شيميايي و ميكروبي منابع آب و خوراك مصرفي </t>
  </si>
  <si>
    <t xml:space="preserve"> بازديد و نظارت بر اكيپ هاي واكسيناسيون طيور </t>
  </si>
  <si>
    <t xml:space="preserve"> بازدید ميداني از واحد مرغداری گوشتي  تا 20000 قطعه جهت صدور مجوز جوجه ریزی</t>
  </si>
  <si>
    <t xml:space="preserve"> بازدید ميداني از واحد مرغداری گوشتي  از 20000 تا 50000 قطعه جهت صدور مجوز جوجه ریزی</t>
  </si>
  <si>
    <t xml:space="preserve"> بازدید ميداني از واحد مرغداری گوشتي از 50000 قطعه به بالاجهت صدور مجوز جوجه ریزی</t>
  </si>
  <si>
    <t xml:space="preserve"> بازدید ميداني از واحد مرغداری مادر تا 20000 قطعه جهت صدور مجوز جوجه ریزی</t>
  </si>
  <si>
    <t xml:space="preserve"> بازدید ميداني از واحد مرغداری مادر از 20000 تا 50000 قطعه جهت صدور مجوز جوجه ریزی</t>
  </si>
  <si>
    <t xml:space="preserve"> بازدید از واحد مرغداری مادر از 50000 قطعه به بالاجهت صدور مجوز جوجه ریزی</t>
  </si>
  <si>
    <t xml:space="preserve"> بازدید ميداني از واحد مرغداری تخمگذار تا 30000 قطعه جهت صدور مجوز جوجه ریزی</t>
  </si>
  <si>
    <t xml:space="preserve"> بازدید ميداني از واحد مرغداری تخمگذار از 30000 تا 50000 قطعه جهت صدور مجوز جوجه ریزی</t>
  </si>
  <si>
    <t xml:space="preserve"> بازدید ميداني از واحد مرغداری تخمگذار از 50000 قطعه به بالاجهت صدور مجوز جوجه ریزی</t>
  </si>
  <si>
    <t xml:space="preserve"> بازديد ميداني و نمونه برداري و بررسي گزارش كانون بيماري طيور گوشتي  تا 20000 قطعه</t>
  </si>
  <si>
    <t xml:space="preserve"> بازديد ميداني و نمونه برداري و بررسي گزارش كانون بيماري طيور گوشتي  از20000 تا 50000  قطعه</t>
  </si>
  <si>
    <t xml:space="preserve"> بازديد ميداني و نمونه برداري و بررسي گزارش كانون بيماري طيور گوشتي  از 50000  قطعه به بالا</t>
  </si>
  <si>
    <t xml:space="preserve"> بازديد ميداني و نمونه برداري و بررسي گزارش كانون بيماري طيور مادر تا 20000 قطعه</t>
  </si>
  <si>
    <t xml:space="preserve"> بازديد ميداني و نمونه برداري و بررسي گزارش كانون بيماري طيور مادر از20000 تا 50000  قطعه</t>
  </si>
  <si>
    <t xml:space="preserve"> بازديد ميداني و نمونه برداري و بررسي گزارش كانون بيماري طيور مادر از 50000  قطعه به بالا</t>
  </si>
  <si>
    <t xml:space="preserve"> بازديد ميداني و نمونه برداري و بررسي گزارش كانون بيماري طيور تخمگذارتا 30000 قطعه</t>
  </si>
  <si>
    <t xml:space="preserve"> بازديد ميداني و نمونه برداري و بررسي گزارش كانون بيماري طيور تخمگذار از30000 تا 50000  قطعه</t>
  </si>
  <si>
    <t xml:space="preserve"> بازديد ميداني و نمونه برداري و بررسي گزارش كانون بيماري طيور تخمگذار از 50000  قطعه به بالا</t>
  </si>
  <si>
    <t xml:space="preserve"> بازديد ميداني و نمونه برداري و بررسي گزارش كانون بيماريهاي طيور غیر صنعتی</t>
  </si>
  <si>
    <t xml:space="preserve"> بازديد ميداني و نمونه برداري و بررسي گزارش كانون بيماريهاي طيور روستايي</t>
  </si>
  <si>
    <t xml:space="preserve"> بازدید و مراقبت فعال از تالاب ها و زیستگاههای پرندگان وحشی </t>
  </si>
  <si>
    <t xml:space="preserve"> بازديد و نمونه برداري و نظارت بركارخانجات جوجه كشي </t>
  </si>
  <si>
    <t xml:space="preserve"> بازديد ميداني و نمونه برداري و بررسي گزارش كانون بيماري در شتر مرغ تا 20 قطعه</t>
  </si>
  <si>
    <t>بازديد ميداني و نمونه برداري و بررسي گزارش كانون بيماري در شتر مرغ از20 تا 100 قطعه</t>
  </si>
  <si>
    <t xml:space="preserve"> بازديد ميداني و نمونه برداري و بررسي گزارش كانون بيماري در شتر مرغ از 100تا 300 قطعه</t>
  </si>
  <si>
    <t xml:space="preserve"> بازديد ميداني و نمونه برداري و بررسي گزارش كانون بيماري در شتر مرغ از 300 قطعه به بالا</t>
  </si>
  <si>
    <t xml:space="preserve"> انجام امور مربوط به بیمه همگانی طیور</t>
  </si>
  <si>
    <t xml:space="preserve"> نظارت بر حذف و معدوم سازی کانون های آلوده مرغ مادر تا 20000 قطعه</t>
  </si>
  <si>
    <t xml:space="preserve"> نظارت بر حذف و معدوم سازی کانون های آلوده مرغ مادر از 20000 تا 50000 قطعه</t>
  </si>
  <si>
    <t xml:space="preserve"> نظارت بر حذف و معدوم سازی کانون های آلوده مرغ مادر از 50000  قطعه به بالا</t>
  </si>
  <si>
    <t xml:space="preserve"> نظارت برحذف و معدوم سازی کانون های آلوده مرغ گوشتی تا 20000 قطعه</t>
  </si>
  <si>
    <t xml:space="preserve"> نظارت برحذف و معدوم سازی کانون های آلوده مرغ گوشتی از 20000 تا 50000 قطعه</t>
  </si>
  <si>
    <t xml:space="preserve"> نظارت برحذف و معدوم سازی کانون های آلوده مرغ گوشتی از 50000  قطعه به بالا</t>
  </si>
  <si>
    <t xml:space="preserve">نظارت برحذف و معدوم سازی کانون های آلوده مرغ تخمگذار تا 30000  قطعه </t>
  </si>
  <si>
    <t xml:space="preserve"> نظارت برحذف و معدوم سازی کانون های آلوده مرغ تخمگذار از 30000 تا 50000  قطعه </t>
  </si>
  <si>
    <t xml:space="preserve"> نظارت برحذف و معدوم سازی کانون های آلوده مرغ تخمگذار از 50000 قطعه به بالا</t>
  </si>
  <si>
    <t xml:space="preserve"> نظارت برحذف و معدوم سازی کانون های آلوده مرغ شتر مرغ تا 20 قطعه</t>
  </si>
  <si>
    <t xml:space="preserve"> نظارت برحذف و معدوم سازی کانون های آلوده شتر مرغ از 20 تا 100 قطعه</t>
  </si>
  <si>
    <t xml:space="preserve"> نظارت برحذف و معدوم سازی کانون های آلوده شتر مرغ از 100 تا 300 قطعه </t>
  </si>
  <si>
    <t xml:space="preserve"> نظارت برحذف و معدوم سازی کانون های آلوده شتر مرغ از 300 قطعه به بالا </t>
  </si>
  <si>
    <t xml:space="preserve"> نظارت برحذف و معدوم سازی کانون های آلوده  واحدهای روستایی و بومی </t>
  </si>
  <si>
    <t xml:space="preserve"> نظارت برحذف و معدوم سازی کانون های آلوده  کارخانجات جوجه کشی </t>
  </si>
  <si>
    <t xml:space="preserve"> نظارت برحذف و معدوم سازی کانون های آلوده ساير گله هاي
 طيور ( اردك و ... )</t>
  </si>
  <si>
    <t xml:space="preserve"> نظارت بر حذف و معدوم سازی کانون های آلوده پرندگان زینتی </t>
  </si>
  <si>
    <t xml:space="preserve"> نظارت بر حذف و معدوم سازی کانون های آلوده پرندگان مهاجر </t>
  </si>
  <si>
    <t xml:space="preserve"> نظارت بر حذف و معدوم سازی نهاده های کانون های آلوده طيور (تن)</t>
  </si>
  <si>
    <t xml:space="preserve"> نظارت برحذف و معدوم سازی نهاده های کانون های آلوده (تن)</t>
  </si>
  <si>
    <t xml:space="preserve"> توزيع مواد ضد عفونی مورد نياز در محل روستا يا مرغداری (لیتر)</t>
  </si>
  <si>
    <t xml:space="preserve"> بازديد ميداني و نظارت بر اكيپ هاي واكسيناسيون دام </t>
  </si>
  <si>
    <t xml:space="preserve"> بازدید/نمونه برداری</t>
  </si>
  <si>
    <t xml:space="preserve">  مايه كوبي آبله  گوسفند و بز</t>
  </si>
  <si>
    <t xml:space="preserve">  مايه كوبي شاربن گاو</t>
  </si>
  <si>
    <t>مایه کوبی بیماری های غیر استراتژیک گاو</t>
  </si>
  <si>
    <t>مایه کوبی بیماری های غیر استراتژیک گوسفند و بز</t>
  </si>
  <si>
    <t>سم پاشي اماكن دامي</t>
  </si>
  <si>
    <t>شاخص عملیات:</t>
  </si>
  <si>
    <t xml:space="preserve"> بازدید کارشناسی از واحدهای مادر گوشتی و تخمگذار</t>
  </si>
  <si>
    <t xml:space="preserve"> بازدید نمونه برداري از واحدهای مادر گوشتی و تخمگذار</t>
  </si>
  <si>
    <t>بازدید کارشناسی از واحدهای تخمگذار تجاري</t>
  </si>
  <si>
    <t>بازدید نمونه برداري از واحدهای تخمگذار تجاري</t>
  </si>
  <si>
    <t xml:space="preserve"> بازدید کارشناسی از واحدهای نيمچه گوشتي</t>
  </si>
  <si>
    <t>بازدید نمونه برداري از واحدهای نيمچه گوشتي</t>
  </si>
  <si>
    <t xml:space="preserve"> بازديد و نمونه برداري از ماهيان دریایی (تکثیر)</t>
  </si>
  <si>
    <t xml:space="preserve"> بازديد و نمونه برداري از ماهيان دریایی (پرورش)</t>
  </si>
  <si>
    <t xml:space="preserve"> نمونه برداري از آب مراكز پرورش و تکثیر ماهيان دریایی و منابع آبی</t>
  </si>
  <si>
    <t xml:space="preserve"> بازديد و نمونه برداري از ماهيان زینتی (تکثیر)</t>
  </si>
  <si>
    <t xml:space="preserve"> بازديد و نمونه برداري از ماهيان زینتی (پرورش)</t>
  </si>
  <si>
    <t xml:space="preserve"> نمونه برداري از آب آكواريوم ها و استخرهای زينتی</t>
  </si>
  <si>
    <t xml:space="preserve"> بازديد و نمونه برداري از میگو (تکثیر)</t>
  </si>
  <si>
    <t xml:space="preserve"> بازديد و نمونه برداري از میگو (پرورش)</t>
  </si>
  <si>
    <t xml:space="preserve"> نمونه برداري از آب مراكز تکثیر و پرورش ميگو</t>
  </si>
  <si>
    <t xml:space="preserve"> بازديد و نمونه برداري از ماهیان سردآبي (تکثیر)</t>
  </si>
  <si>
    <t xml:space="preserve"> بازديد و نمونه برداري از ماهیان سردآبي (پرورش)</t>
  </si>
  <si>
    <t xml:space="preserve"> نمونه برداري از آب مراكز تکثیر و پرورش ماهیان سردآبي</t>
  </si>
  <si>
    <t xml:space="preserve"> بازديد و نمونه برداري از ماهیان گرمابی (تکثیر)</t>
  </si>
  <si>
    <t xml:space="preserve"> بازديد و نمونه برداري از ماهیان گرمابی (پرورش)</t>
  </si>
  <si>
    <t xml:space="preserve"> نمونه برداري از آب مراكز تکثیر و پرورش ماهیان گرمابی</t>
  </si>
  <si>
    <t xml:space="preserve"> بازديد و نمونه برداري از زنبورستان</t>
  </si>
  <si>
    <t xml:space="preserve"> بازديد و نمونه برداري از نوغانستان</t>
  </si>
  <si>
    <t xml:space="preserve">  بازدید نمونه برداري از مراكزجمع اوري شير</t>
  </si>
  <si>
    <t xml:space="preserve">بازدید نمونه برداري ازكارخانجات توليد خوراك دام و كنسانتره </t>
  </si>
  <si>
    <t xml:space="preserve">  بازدید نمونه برداري از كشتارگاه طيور</t>
  </si>
  <si>
    <t xml:space="preserve"> بازدید نمونه برداري از كشتارگاه دام </t>
  </si>
  <si>
    <t xml:space="preserve"> بازدید نمونه برداري از زنبورستان</t>
  </si>
  <si>
    <t xml:space="preserve">  آزمایش انگل شناسي</t>
  </si>
  <si>
    <t xml:space="preserve"> آزمایش سرولوژي طيور </t>
  </si>
  <si>
    <t>PCR</t>
  </si>
  <si>
    <t xml:space="preserve"> بازدید ممیزی، ارزیابی و رتبه بندی مراکز خدمات پیشگیری، درمانی، تشخیصی دامپزشکی</t>
  </si>
  <si>
    <t xml:space="preserve"> بازدید ممیزی، ارزیابی و رتبه بندی صنایع وابسته به دام</t>
  </si>
  <si>
    <t xml:space="preserve">  بازرسي و نظارت بهداشتي بر اماكن دامي</t>
  </si>
  <si>
    <t xml:space="preserve">  بازرسي و نظارت بهداشتي بر كشتارگاه هاي دام و طيور</t>
  </si>
  <si>
    <t xml:space="preserve">  بازرسي و نظارت بهداشتي بر سردخانه ها، مراکز فراوری، عمل آوری و بسته بندی تولیدات دامی و شیلاتی</t>
  </si>
  <si>
    <t xml:space="preserve">  بازرسي و نظارت بهداشتي بر کارخانجات خوراک دام، انبارهای نگهداری مواد اولیه خوراک دام و خوراک آماده</t>
  </si>
  <si>
    <t xml:space="preserve">   بازرسي و نظارت بهداشتي بر مراکز جمع آوری شیر</t>
  </si>
  <si>
    <t xml:space="preserve">  بازرسي و نظارت بهداشتی از مراکز، توزیع و عرضه فراورده های خام دامی، پرندگان زينتي ، ابزيان زينتي</t>
  </si>
  <si>
    <t xml:space="preserve">  بازرسي و نظارت بهداشتی گوشت در کشتارگاههای طیور</t>
  </si>
  <si>
    <t xml:space="preserve">  بازرسي و نظارت بهداشتی گوشت در کشتارگاههای دام </t>
  </si>
  <si>
    <t>نظارت های شرعی در مراکز تولید، بسته بندی و عرضه فراورده های خام دامی</t>
  </si>
  <si>
    <t xml:space="preserve"> بازرسي و نظارت بر مراكز تولید، پخش ، توزيع ، نگهداري و فروش انواع دارو ، فرآورده هاي بيولوژيك، سرم ، مواد ضدعفوني كننده ، سموم ، افزودني  خوراك دام ، آنزيم ها ، پروبيوتيك ها و ...</t>
  </si>
  <si>
    <t xml:space="preserve">  بازدید و نمونه برداري جهت صدور کد IR.QIN</t>
  </si>
  <si>
    <t xml:space="preserve">  بازدید و نمونه برداري جهت صدور کد EC</t>
  </si>
  <si>
    <t xml:space="preserve">  بازدید و نمونه برداري جهت صدور کد صادراتی مراكز توليد  دارو ، سم ، مكمل ، ضدعفوني ، واكسن و .....</t>
  </si>
  <si>
    <t xml:space="preserve">  وارد كردن داده ها و اطلاعات در سامانه یکپارچه قرنطینه و ارسال گزارش عملكرد  به مراجع ذي ربط</t>
  </si>
  <si>
    <t xml:space="preserve"> وارد كردن داده ها و اطلاعات در سامانه خدمات پیشگیری، درمانی، تشخیص و ارسال گزارش عملكرد  به مراجع ذي ربط</t>
  </si>
  <si>
    <t>فرایند صدور گواهی بهداشتی- قرنطینه ای محموله های بین استانی دام، طیور، آبزیان و فراورده های خام دامی</t>
  </si>
  <si>
    <t>فرایند صدور گواهی بهداشتی- قرنطینه ای محموله های صادراتی دام، طیور، آبزیان و فراورده های خام دامی</t>
  </si>
  <si>
    <t>فرایند صدور گواهی بهداشتی- قرنطینه ای محموله های ترانزیتی دام، طیور، آبزیان و فراورده های خام دامی</t>
  </si>
  <si>
    <t>فرایند صدور گواهی بهداشتی- قرنطینه ای محموله های محموله های وارداتی دام، طیور، آبزیان و فراورده های خام دامی</t>
  </si>
  <si>
    <t xml:space="preserve"> بازديد کارشناسی جهت صدور گواهی بهداشتی قرنطینه ای بين استاني دام، طیور، آبزیان و فراورده های خام دامی</t>
  </si>
  <si>
    <t xml:space="preserve">فرایند صدور گواهی بهداشتی- قرنطینه ای محموله های انواع دارو، فراورده هاي بيولوژيك و ... </t>
  </si>
  <si>
    <t xml:space="preserve">فرایند صدور گواهی بهداشتی- قرنطینه ای محموله های صادراتی/ وارداتي/ ترانزيتي انواع دارو، فراورده هاي بيولوژيك و ... </t>
  </si>
  <si>
    <t>بررسي كارشناسي جهت تجديد / تمديد صدور گواهي ثبت دارو</t>
  </si>
  <si>
    <t xml:space="preserve"> فرایند صدور گواهی بهداشتی- قرنطینه ای محموله های بین شهری دام، طیور، آبزیان و فراورده های خام دامی</t>
  </si>
  <si>
    <t>پست قرنطینه</t>
  </si>
  <si>
    <t>شاخص عملیات هدف</t>
  </si>
  <si>
    <t xml:space="preserve">  برگزاري آموزش های حضوري/ترويجي بهره وران ساعت/ نفر</t>
  </si>
  <si>
    <t xml:space="preserve"> برگزاری جلسات توجیهی ، سمینار / کارگاه آموزشی و ... ساعت نفر</t>
  </si>
  <si>
    <t xml:space="preserve">  تهيه نرم افزارهاي آموزشي</t>
  </si>
  <si>
    <t xml:space="preserve"> فرایند صدور گواهی</t>
  </si>
  <si>
    <t>بازديد كارشناسي جهت صدور/ تمديد/ نقل و انتقال پروانه خدمات پیشگیری، درمانی و تشخیصی دامپزشکی</t>
  </si>
  <si>
    <t>فرایند صدور/ تمديد/ نقل و انتقال پروانه خدمات پیشگیری، درمانی و تشخیصی دامپزشکی</t>
  </si>
  <si>
    <t>بازرسی و نظارت بر مراکز خدمات پیشگیری، درمانی و تشخیصی دامپزشکی</t>
  </si>
  <si>
    <t>عنوان برنامه</t>
  </si>
  <si>
    <t xml:space="preserve"> پیشگیری و کنترل بیماری سل</t>
  </si>
  <si>
    <t>پیشگیری و کنترل بیماری مشمشه</t>
  </si>
  <si>
    <t>1</t>
  </si>
  <si>
    <t>2</t>
  </si>
  <si>
    <t>3</t>
  </si>
  <si>
    <t>شاخص</t>
  </si>
  <si>
    <t>عنوان برنامه های استراتژیک</t>
  </si>
  <si>
    <t>پیشگیری و کنترل بیماری بروسلوز گاوی</t>
  </si>
  <si>
    <t xml:space="preserve"> تلفات بیماری (درصد)</t>
  </si>
  <si>
    <t xml:space="preserve"> بروز بیماری (کانون)</t>
  </si>
  <si>
    <t xml:space="preserve"> مراقبت، کنترل و مبارزه با بيماري نیوکاسل</t>
  </si>
  <si>
    <t xml:space="preserve"> مراقبت، کنترل و مبارزه با بيماري آنفلوانزای پرندگان</t>
  </si>
  <si>
    <t xml:space="preserve"> مراقبت، کنترل و مبارزه با بيماري برونشیت عفونی</t>
  </si>
  <si>
    <t xml:space="preserve"> مراقبت، کنترل و مبارزه با بيماري گامبورو</t>
  </si>
  <si>
    <t xml:space="preserve"> مراقبت، کنترل و مبارزه با بيماري مایکوپلاسموز</t>
  </si>
  <si>
    <t>4</t>
  </si>
  <si>
    <t>5</t>
  </si>
  <si>
    <t>بررسی و مراقبت بیماریهای VNN و RSIVD در ماهیان دریایی</t>
  </si>
  <si>
    <t>بررسی و مراقبت بیماریهای SVC، KHV و GCRV در ماهیان گرمابی</t>
  </si>
  <si>
    <t>بررسی و مراقبت بیماریهای YHV، IHHNV، AHPND، IMNV، HPV، MBV و TSV در میگو</t>
  </si>
  <si>
    <t>بررسی و مراقبت بیماریهای KHV و SVC در ماهیان آکواریومی</t>
  </si>
  <si>
    <t>بررسی و مراقبت بیماری های SAV, ISA, EHN, Gyrodactylosis در ماهیان سردآبی</t>
  </si>
  <si>
    <t>کنترل و مراقبت  بيماريهای IHN و VHS در ماهیان سردآبی</t>
  </si>
  <si>
    <t>کنترل و مراقبت بیماری WSSV در میگو</t>
  </si>
  <si>
    <t>کنترل و مراقبت بیماری IPN</t>
  </si>
  <si>
    <t xml:space="preserve">کنترل و مراقبت بیماریهای باكتريايي ماهیان سردآبی (یرسینیوزیس و استرپتوکوکوزیس)
</t>
  </si>
  <si>
    <t>کنترل و مراقبت سندروم تلفات تابستانه در ماهیان گرمابی</t>
  </si>
  <si>
    <t xml:space="preserve"> کنترل و مراقبت بیماریهای انگلی و قارچی</t>
  </si>
  <si>
    <t>کنترل و مراقبت بیماریهای محیطی و تغذیه ای</t>
  </si>
  <si>
    <t>6</t>
  </si>
  <si>
    <t>7</t>
  </si>
  <si>
    <t>8</t>
  </si>
  <si>
    <t>9</t>
  </si>
  <si>
    <t>10</t>
  </si>
  <si>
    <t>11</t>
  </si>
  <si>
    <t>12</t>
  </si>
  <si>
    <t xml:space="preserve"> مراقبت، کنترل و مبارزه با بيماري آکاراپیس</t>
  </si>
  <si>
    <t xml:space="preserve"> مراقبت، کنترل و مبارزه با بيماري لوک آمریکایی</t>
  </si>
  <si>
    <t xml:space="preserve"> مراقبت، کنترل و مبارزه با بيماري لوک اروپایی</t>
  </si>
  <si>
    <t xml:space="preserve"> مراقبت، کنترل و مبارزه با بيماري واروازیس</t>
  </si>
  <si>
    <t xml:space="preserve"> مراقبت، کنترل و مبارزه با بيماري نوزما </t>
  </si>
  <si>
    <t xml:space="preserve"> پیشگیری و کنترل بیماری شاربن</t>
  </si>
  <si>
    <t xml:space="preserve"> پیشگیری و کنترل بیماری آبله</t>
  </si>
  <si>
    <t xml:space="preserve"> پیشگیری و کنترل بیماری تب برفکی</t>
  </si>
  <si>
    <t xml:space="preserve"> پیشگیری و کنترل بیماری شبه طاعون و طاعون نشخواركنندگان كوچك</t>
  </si>
  <si>
    <t xml:space="preserve"> پیشگیری و کنترل بیماری لمپی اسکین</t>
  </si>
  <si>
    <t>توسعه صدور پروانه اشتغال به حمل دام ، طيور و آبزيان (زنده)</t>
  </si>
  <si>
    <t>توسعه صدور پروانه اشتغال به حمل توليدات دامي و شيلاتي</t>
  </si>
  <si>
    <t>توسعه صدور پروانه اشتغال به حمل انواع دارو، فراورده هاي بيولوژيك، سرم، ضدعفوني كننده، سموم، افزودني خوراك دام، آنزيم ها، پروبيوتيك ها و نظاير آن كه به نحوي از انحاء مورد مصرف دامپزشكي مي باشد</t>
  </si>
  <si>
    <t>تعداد پروانه</t>
  </si>
  <si>
    <t>عنوان شاخص</t>
  </si>
  <si>
    <r>
      <rPr>
        <sz val="14"/>
        <color theme="1"/>
        <rFont val="B Mitra"/>
        <charset val="178"/>
      </rPr>
      <t xml:space="preserve"> نشانگر</t>
    </r>
    <r>
      <rPr>
        <sz val="10"/>
        <color theme="1"/>
        <rFont val="B Mitra"/>
        <charset val="178"/>
      </rPr>
      <t xml:space="preserve">  Indicator</t>
    </r>
  </si>
  <si>
    <t xml:space="preserve">          سال پایه Curent situation</t>
  </si>
  <si>
    <t>هدف Target</t>
  </si>
  <si>
    <t>میادین عرضه دام</t>
  </si>
  <si>
    <t>دامداری</t>
  </si>
  <si>
    <t>مرغداری</t>
  </si>
  <si>
    <t>آبزی پروری</t>
  </si>
  <si>
    <t>توسعه اماکن دامی دارای سامانه های GAHP, HACCP</t>
  </si>
  <si>
    <t xml:space="preserve">واحد </t>
  </si>
  <si>
    <r>
      <rPr>
        <sz val="14"/>
        <color theme="1"/>
        <rFont val="B Mitra"/>
        <charset val="178"/>
      </rPr>
      <t xml:space="preserve"> نشانگر </t>
    </r>
    <r>
      <rPr>
        <sz val="10"/>
        <color theme="1"/>
        <rFont val="B Mitra"/>
        <charset val="178"/>
      </rPr>
      <t xml:space="preserve"> Indicator</t>
    </r>
  </si>
  <si>
    <t>بسته بندی فراورده های خام دامی</t>
  </si>
  <si>
    <t>سردخانه ها</t>
  </si>
  <si>
    <t>کارگاه های فراوری و عمل آوری</t>
  </si>
  <si>
    <t>مراکز عرضه فراورده های خام دامی</t>
  </si>
  <si>
    <t>مراکز جمع آوری شیر</t>
  </si>
  <si>
    <t>کارخانجات خوراک دام و تبدیل ضایعات</t>
  </si>
  <si>
    <t>کشتارگاه دام</t>
  </si>
  <si>
    <t>کشتارگاه طیور</t>
  </si>
  <si>
    <t>توسعه صنایع وابسته به گوشت دارای سامانه های GMP, HACCP</t>
  </si>
  <si>
    <t xml:space="preserve"> نشانگر  Indicator</t>
  </si>
  <si>
    <t>کارخانجات تولید دارو</t>
  </si>
  <si>
    <t>کارخانجات تولید سم</t>
  </si>
  <si>
    <t>کارخانجات تولید مکمل</t>
  </si>
  <si>
    <t>کارخانجات تولید ضدعفونی</t>
  </si>
  <si>
    <t>کارخانجات تولید واکسن</t>
  </si>
  <si>
    <t>شرکت های پخش، توزیع، نگهداری</t>
  </si>
  <si>
    <t>توسعه مراكز توليد ( دارو ، سم ، مكمل ، ضدعفوني ، واكسن و .....) دارای سامانه های GMP, HACCP</t>
  </si>
  <si>
    <t xml:space="preserve">توسعه صدور کد صادراتی (EC) فراورده های دامی  </t>
  </si>
  <si>
    <t>توسعه صدور کد صادراتی (IR) فراورده های دامی و خوراک دام</t>
  </si>
  <si>
    <t>توسعه صدور کد وارداتی قرنطینه (IR.QIN)</t>
  </si>
  <si>
    <t>توسعه صدور کد صادراتی مراكز توليد  دارو ، سم ، مكمل ، ضدعفوني ، واكسن و .....</t>
  </si>
  <si>
    <t xml:space="preserve">عنوان برنامه ها </t>
  </si>
  <si>
    <t>تعداد  صدور کد</t>
  </si>
  <si>
    <t>آزمایشگاه ها</t>
  </si>
  <si>
    <t>دفاتر خدمات درمانی</t>
  </si>
  <si>
    <t>پلی کلینیک، درمانگا</t>
  </si>
  <si>
    <t>بیمارستان ها</t>
  </si>
  <si>
    <t>مراکز مایه کوبی</t>
  </si>
  <si>
    <t>داروخانه ها</t>
  </si>
  <si>
    <t>توسعه مراکز خدمات پیشگیری، درمانی، تشخیصی دارای رتبه A</t>
  </si>
  <si>
    <t>توسعه اماکن دامی دارای رتبه A</t>
  </si>
  <si>
    <t>توسعه صنایع وابسته به دام دارای رتبه A</t>
  </si>
  <si>
    <t>توسعه مراكز توليد ( دارو ، سم ، مكمل ، ضدعفوني ، واكسن و .....) دارای رتبه A</t>
  </si>
  <si>
    <t>هدف کاهش بروز بیماری های مشترک</t>
  </si>
  <si>
    <t>هدف کاهش بروز بیماری ها در مزارع پرورشی آبزیان و کاهش تلفات در مزارع پرورش آبزیان</t>
  </si>
  <si>
    <t>هدف افزايش تعداد ناوگان اختصاصي و بهداشتي حمل و نقل</t>
  </si>
  <si>
    <t>هدف افزايش تعداد واحدهاي داراي گواهي هاي استقرار سامانه هاي GMP, HACCP  و ....</t>
  </si>
  <si>
    <t>هدف  افزايش صدور کد IR و EC و …</t>
  </si>
  <si>
    <t xml:space="preserve">هدف  افزايش تعداد واحدهاي داراي رتبه A </t>
  </si>
  <si>
    <t>استقرار و توسعه درمانگاه های ویژه روستایی و عشایری</t>
  </si>
  <si>
    <t>توسعه مراكز ارائه خدمات پیشگیری، درمانی، تشخیصی دامپزشکی</t>
  </si>
  <si>
    <t>تعداد مرکز</t>
  </si>
  <si>
    <t xml:space="preserve"> افزایش تعداد شاغلین بخش غیر دولتی دامپزشکی در شهرستان ها و مناطق
 کمتر توسعه یافته با جمعیت 100000 واحد دامی، افزایش درمانگاه های دامپزشکی ویژه مناطق روستایی و عشایری</t>
  </si>
  <si>
    <t>هدف کاهش تلفات در گله های مرغ گوشتی و کاهش بروز بیماری ها در گله های صنعتی طیور</t>
  </si>
  <si>
    <t>هدف کاهش بروز بیماری در کلنی های زنبور عسل  و کاهش بروز بیماری در کرم ابریشم</t>
  </si>
  <si>
    <t>هدف کاهش بروز بیماری های واگیر دام در واحدهای اپیدمیولوژیک</t>
  </si>
  <si>
    <t xml:space="preserve"> اهداف کلی 1: تامین بهداشت و سلامت دام</t>
  </si>
  <si>
    <t xml:space="preserve"> راهبرد 1-1: ارتقاء شاخص های کنترل بیماری های قابل انتقال بین حیوان و انسان</t>
  </si>
  <si>
    <t xml:space="preserve"> هدف کمی 1-1-1: کاهش بروز بیماری های مشترک از 20 در صد (کانون) در سال پایه به 15 درصد (کانون) در پایان برنامه</t>
  </si>
  <si>
    <t xml:space="preserve"> سیاست های اجرایی:</t>
  </si>
  <si>
    <t>1- ایجاد سیستم مراقبت بیماری های قابل انتقال بین حیوان و انسان و نظارت، پیگیری و اجرای آنها</t>
  </si>
  <si>
    <t xml:space="preserve">2- تهيه، تنظيم و اجراء برنامه هاي پيشگيري و کنترل بر عليه بيماري هاي قابل انتقال بین حیوان و انسان و صدور بخشنامه ها و دستورالعمل هاي لازم </t>
  </si>
  <si>
    <t xml:space="preserve">3- ارتقاء سطح ايمني دام از طريق مايه كوبي بر عليه بيماري هاي قابل انتقال از حیوان به انسان </t>
  </si>
  <si>
    <t>4- نظارت بر عمليات پيشگيري و كنترل بيماري هاي قابل انتقال بین حیوان و انسان كه توسط بخش خصوصي انجام مي گيرد</t>
  </si>
  <si>
    <t>5- پيش بيني وسايل، تجهيزات، واكسن، مواد بيولوژيك، سموم و مواد دارويي مورد نیاز در سطح کشور و نظارت بر توزيع و مصرف آن</t>
  </si>
  <si>
    <t xml:space="preserve"> 6- جمع آوري اطلاعات، آمار و نتايج حاصل از عمليات پیشگیری و کنترل بیماری های قابل انتقال از حیوان به انسان از شبكه هاي دامپزشكي و تجزيه و تحليل آنها و انتخاب بهترين و
 موثر ترين روش براي پیشگیری و کنترل بيماري ها</t>
  </si>
  <si>
    <t xml:space="preserve">7- نظارت بر برنامه ها ، طرحها و عملیات  پیشگیری و کنترل بیماری های قابل انتقال از حیوان به انسان </t>
  </si>
  <si>
    <t>8-  اقدامات لازم در خصوص تعيين تعداد و تركيب نيروي انساني متخصص دامپزشكي مورد نياز در  بخش هاي دولتي و غير دولتي دامپزشكي</t>
  </si>
  <si>
    <t>9- اقدامات كنتر لي و ريشه كني در خصوص بيماري هاي اگزوتيك و اجراي سيستم پايش مستمر و امنيت زيستي (Bio security) شامل بازديد كارشناسي/ نمونه برداري/ نظارتي/ بررسي اپيدميولوژيك/ بازرسي/ تعين تطبيق يا عدم تطبيق اقدامات قرنطينه اي/ بيوسكيوريتي/  و ...</t>
  </si>
  <si>
    <t>11- استقرار سيستم زنجيره سرد حمل/ نگهداري/ توزيع</t>
  </si>
  <si>
    <t>12-  اقدامات قرنطینه ای و امنیت زیستی در کانون طغیان و ...</t>
  </si>
  <si>
    <t>13- اقدامات لازم در خصوص تعین ميزان تاثير واكسن، مواد بيولوژيك، دارو و سموم</t>
  </si>
  <si>
    <t>14- بررسي ميزان بروز، شيوع و تلفات اقتصادي ناشي از بيماري هاي قابل انتقال از حیوان به انسان در سطح كشور و چگونگي انتقال بيماري ها</t>
  </si>
  <si>
    <t>15- بررسي راه هاي انتشار و انتقال بيماري ها و مشخص نمودن عوامل ذي مدخل در اكولوژي هاي مختلف</t>
  </si>
  <si>
    <t>16- تدوين دستورالعمل فوریت های خدمات دامپزشکی در حوادث غیر مترقبه (اپیدمی ها، بلایا، اتفاقات انسان ساخت و ...)</t>
  </si>
  <si>
    <t>17- هماهنگی با ارگان های ذیربط جهت کسب پشتیبانی های لازم</t>
  </si>
  <si>
    <t>18- پاکسازی و ضدعفونی کانون های آلوده</t>
  </si>
  <si>
    <t>19- قرنطینه، حذف و معدوم سازی نهاده ها و دام کانون های آلوده</t>
  </si>
  <si>
    <t>20-  استقرار سیستم هشدار به موقع Early alarm system و تشخیص سریع Early detection system</t>
  </si>
  <si>
    <t>21- برنامه ريزي، هماهنگي و اجراء بمنظور آموزش و اطلاع رساني در امر بهداشت عمومي به بهره وران</t>
  </si>
  <si>
    <t xml:space="preserve">    نشانگر
Indicator</t>
  </si>
  <si>
    <t xml:space="preserve">          سال پایه
Curent situation</t>
  </si>
  <si>
    <t>هدف
Target</t>
  </si>
  <si>
    <t>1-1-1-1</t>
  </si>
  <si>
    <t>کاهش بروز بیماری (درصد)</t>
  </si>
  <si>
    <t>1-1-1-2</t>
  </si>
  <si>
    <t>پیشگیری و کنترل بیماری بروسلوز</t>
  </si>
  <si>
    <t>1-1-1-3</t>
  </si>
  <si>
    <t>1-1-1-8</t>
  </si>
  <si>
    <t>1-1-1-4</t>
  </si>
  <si>
    <r>
      <t>پیشگیری و کنترل سایر بیماری های مشترک</t>
    </r>
    <r>
      <rPr>
        <sz val="14"/>
        <rFont val="B Mitra"/>
        <charset val="178"/>
      </rPr>
      <t/>
    </r>
  </si>
  <si>
    <t>نمونه برداری /آزمایش</t>
  </si>
  <si>
    <t>هدف کمی 2-2-1: کاهش تلفات (بیماری های استراتژیک) در گله های مرغ گوشتی از 3.489 در صد در سال پایه به 2.558 درصد در پایان برنامه
کاهش بروز بیماری های استراتژیک در گله های صنعتی طیور از 6247 کانون در سال پایه به 3279 کانون در پایان برنامه</t>
  </si>
  <si>
    <t>1- ایجاد سیستم مراقبت بیماری های طیور و نظارت، پیگیری و اجرای آنها</t>
  </si>
  <si>
    <t xml:space="preserve">2- طراحی پروتکل واکسیناسیون مبتنی بر  نوع گله، ایمنی مادری، سیستم ایمنی درگیر در بیماری، نوع واکسن های موجود، زمان مصرف </t>
  </si>
  <si>
    <t xml:space="preserve">3- نظارت بر برنامه ها ، طرحها و عملیات  پیشگیری و کنترل بیماری ها طیور </t>
  </si>
  <si>
    <t>4- بازديد كارشناسي/ نمونه برداري/ نظارتي/ بررسي اپيدميولوژيك/ بازرسي/ تعين تطبيق يا عدم تطبيق اقدامات قرنطينه اي/ بيوسكيوريتي/  و ...</t>
  </si>
  <si>
    <t>5- اقدامات قرنطینه ای و امنیت زیستی در کانون آلوده و ...</t>
  </si>
  <si>
    <t xml:space="preserve">6- جمع آوري اطلاعات، آمار و نتايج حاصل از عمليات پیشگیری و کنترل بیماری های طیور از بخش دولتی و خصوصی دامپزشكي  </t>
  </si>
  <si>
    <t>7- تجزيه و تحليل داده های جمع آوری شده و انتخاب بهترين و موثر ترين روش براي پیشگیری و کنترل بيماري ها</t>
  </si>
  <si>
    <t>8- پيش بيني خرید وسايل، تجهيزات، واكسن، مواد بيولوژيك، سموم و مواد دارويي و نظارت بر توزيع آن</t>
  </si>
  <si>
    <t>9- اقدامات لازم در خصوص ميزان تاثير واكسن، مواد بيولوژيك، دارو و سموم</t>
  </si>
  <si>
    <t xml:space="preserve">10- بررسي ميزان بروز، شيوع و خسارات اقتصادي ناشي از بيماري در گله های صنعتی طیور در سطح كشور </t>
  </si>
  <si>
    <t>11- بررسي راه هاي انتشار و انتقال بيماري ها و مشخص نمودن عوامل ذي مدخل در اكولوژي هاي مختلف</t>
  </si>
  <si>
    <t>12- تدوين دستورالعمل فوریت های خدمات دامپزشکی در حوادث غیر مترقبه (اپیدمی ها، بلایا، اتفاقات انسان ساخت و ...)</t>
  </si>
  <si>
    <t>13- هماهنگی با ارگان های ذیربط جهت کسب پشتیبانی های لازم</t>
  </si>
  <si>
    <t>14- نظارت بر پاکسازی و ضدعفونی کانون های آلوده</t>
  </si>
  <si>
    <t>15-  قرنطینه، حذف و معدوم سازی نهاده ها و دام در کانون های آلوده</t>
  </si>
  <si>
    <t>16-  استقرار سیستم هشدار به موقع Early alarm system و تشخیص سریع Early detection system</t>
  </si>
  <si>
    <t>17- برنامه ريزي، هماهنگي و اجراء بمنظور آموزش و اطلاع رساني در امر بهداشت عمومي به بهره وران</t>
  </si>
  <si>
    <r>
      <t xml:space="preserve">    نشانگر
</t>
    </r>
    <r>
      <rPr>
        <sz val="10"/>
        <color theme="1"/>
        <rFont val="B Mitra"/>
        <charset val="178"/>
      </rPr>
      <t>Indicator</t>
    </r>
  </si>
  <si>
    <r>
      <t xml:space="preserve"> سال پایه
</t>
    </r>
    <r>
      <rPr>
        <sz val="10"/>
        <color theme="1"/>
        <rFont val="B Mitra"/>
        <charset val="178"/>
      </rPr>
      <t>Curent situation</t>
    </r>
  </si>
  <si>
    <r>
      <t xml:space="preserve">هدف
</t>
    </r>
    <r>
      <rPr>
        <sz val="10"/>
        <color theme="1"/>
        <rFont val="B Mitra"/>
        <charset val="178"/>
      </rPr>
      <t>Target</t>
    </r>
  </si>
  <si>
    <t>1-2-2-1</t>
  </si>
  <si>
    <t>1-2-2-2</t>
  </si>
  <si>
    <t>1-2-2-3</t>
  </si>
  <si>
    <t>1-2-2-4</t>
  </si>
  <si>
    <t>1-2-2-5</t>
  </si>
  <si>
    <t>1-2-2-6</t>
  </si>
  <si>
    <t xml:space="preserve"> مراقبت و کنترل  سایر بیماری های طیور</t>
  </si>
  <si>
    <t>نمونه آزمایش</t>
  </si>
  <si>
    <t>نمونه/آزمایش</t>
  </si>
  <si>
    <t xml:space="preserve"> هدف کمی 3-2-1: کاهش بروز بیماری در مراکز تکثیر و مزارع پرورشی آبزیان از 965 کانون در سال پایه به 707 کانون در پایان برنامه
 کاهش تلفات در مراکز تکثیر و مزارع پرورشی آبزیان از 13.89 در صد در سال پایه به 10.182 درصد در پایان برنامه</t>
  </si>
  <si>
    <t>1- شناسایی مراکز تکثیر و مزارع پرورشی آلوده به بیماری های اخطارکردنی و واگیردار آبزیان</t>
  </si>
  <si>
    <t>2- ثبت مزارع پرورشی آلوده در سامانه پایش و مراقبت بیماری های آبزیان GIS و ثبت سالانه رخداد بیماری و تلفات در مراکز تکثیر و پرورش</t>
  </si>
  <si>
    <t>3- مطالعات جامع اپیدمیولوژیک و بررسی اپیدمیولوژیک بیماری های اخطارکردنی و مسری آبزیان پرورشی در هنگام رخداد بیماری و تلفات</t>
  </si>
  <si>
    <t>4-تدوین و اعمال ضوابط قرنطینه ای بین مرزی و درون مرزی</t>
  </si>
  <si>
    <t>5- استقرار و ارتقا الزامات و شرایط امنیت زیستی در مزارع پرورشی</t>
  </si>
  <si>
    <t>6- اطلاع رسانی عمومی وقوع بیماری (ذینفعان) و همکاری در افزایش میزان دانش و آگاهی پرورش دهندگان در خصوص ضوابط و مقررات بهداشتی</t>
  </si>
  <si>
    <t>7- مطالعات مربوط به اقدامات پیشگیرانه به منظور جلوگیری از آلودگی مراکز تکثیر و مزارع پرورشی</t>
  </si>
  <si>
    <t>8- انجام عملیات پیشگیرانه (ضدعفونی، واکسیناسیون، استفاده از محرک های ایمنی، پربیوتیک ها و پروبیوتیک ها، ...)</t>
  </si>
  <si>
    <t>9- اقدامات درمانی در موارد خاص</t>
  </si>
  <si>
    <t>10- برقراری سیستم های پایش و مراقبت (Surveillance)</t>
  </si>
  <si>
    <t>11- معدوم سازی کانون های آلوده</t>
  </si>
  <si>
    <t>12- تدوین شیوه نامه ها و دستورالعمل ها</t>
  </si>
  <si>
    <t>13- نظارت بر اجرای صحیح برنامه های تدوین شده و ضوابط و دستورالعمل ها</t>
  </si>
  <si>
    <t>14- آموزش کارشناسان بخش دولتی و همکاری در ارتقای دانش بخش خصوصی</t>
  </si>
  <si>
    <t>15- انجام هماهنگی های درون سازمانی، برون سازمانی و بین بخشی</t>
  </si>
  <si>
    <t>16- همکاری در توانمند سازی بخش خصوصی دامپزشکی آبزیان (آزمایشگاه ها، کلینیک های تخصصی، بیمارستان ها، ...)</t>
  </si>
  <si>
    <t>17- همکاری در راه اندازی و ست آپ آزمایشگاه های تشخیص دامپزشکی</t>
  </si>
  <si>
    <t>18-  استقرار سیستم هشدار به موقع Early alarm system و تشخیص سریع Early detection system</t>
  </si>
  <si>
    <t>19- نیازسنجی و برنامه ریزی جهت تهیه و توزیع داروها و مواد ضدعفونی کننده مورد نیاز آبزیان</t>
  </si>
  <si>
    <r>
      <t xml:space="preserve">    نشانگر
</t>
    </r>
    <r>
      <rPr>
        <sz val="10"/>
        <color indexed="8"/>
        <rFont val="B Mitra"/>
        <charset val="178"/>
      </rPr>
      <t>Indicator</t>
    </r>
  </si>
  <si>
    <r>
      <t xml:space="preserve"> سال پایه
</t>
    </r>
    <r>
      <rPr>
        <sz val="10"/>
        <color indexed="8"/>
        <rFont val="B Mitra"/>
        <charset val="178"/>
      </rPr>
      <t>Curent situation</t>
    </r>
  </si>
  <si>
    <r>
      <t xml:space="preserve">هدف
</t>
    </r>
    <r>
      <rPr>
        <sz val="10"/>
        <color indexed="8"/>
        <rFont val="B Mitra"/>
        <charset val="178"/>
      </rPr>
      <t>Target</t>
    </r>
  </si>
  <si>
    <t>1-2-3-1</t>
  </si>
  <si>
    <t>بررسي ، شناسايي و كنترل  بيماريهاي اخطارکردنی اگزوتیک آبزیان</t>
  </si>
  <si>
    <t>کاهش بروز بیماری</t>
  </si>
  <si>
    <t>صفر</t>
  </si>
  <si>
    <t>کاهش تلفات بیماری</t>
  </si>
  <si>
    <t>1-2-3-2</t>
  </si>
  <si>
    <t>1-2-3-3</t>
  </si>
  <si>
    <t>1-2-3-4</t>
  </si>
  <si>
    <t>1-2-3-5</t>
  </si>
  <si>
    <t>1-2-3-6</t>
  </si>
  <si>
    <t>بررسي ، شناسايي و كنترل  بيماريهاي اخطار کردنی غیر اگزوتیک آبزیان</t>
  </si>
  <si>
    <t>5% کاهش سالانه</t>
  </si>
  <si>
    <t>1-2-3-7</t>
  </si>
  <si>
    <t>1-2-3-8</t>
  </si>
  <si>
    <t>بررسي ، شناسايي و كنترل  بيماريهاي غیر اخطار کردنی بومی آبزیان</t>
  </si>
  <si>
    <t>1-2-3-9</t>
  </si>
  <si>
    <t>1-2-3-10</t>
  </si>
  <si>
    <t>1-2-3-11</t>
  </si>
  <si>
    <t>1-2-3-12</t>
  </si>
  <si>
    <t>اهداف کلی 1: تامین بهداشت و سلامت دام</t>
  </si>
  <si>
    <t>هدف کمی 4-2-1: کاهش بروز بیماری در کلنی های زنبور عسل و کرم ابریشم از 20.38 در صد در سال پایه به 18.342 درصد در پایان برنامه</t>
  </si>
  <si>
    <t>1- ایجاد سیستم مراقبت بیماری های  زنبور عسل و کرم ابریشم و نظارت، پیگیری و اجرای آنها</t>
  </si>
  <si>
    <t>2- تعین میزان آلودگی و اهمیت بیماری در کلنی های زنبور عسل و پرورش کرم ابریشم</t>
  </si>
  <si>
    <t>3- طراحی پروتکل مصرف داروهای استراتژیک مبتنی بر تشخیص عامل بیماری، نوع کلنی، زمان مصرف و فواصل مصرف و اقلیم کشور</t>
  </si>
  <si>
    <t>4- ارتقاء امنيت زيستي و مديريت بهداشتي زنبورستان ها و مراکز پرورش کرم ابریشم</t>
  </si>
  <si>
    <t>5- نظارت بر برنامه ها ، طرحها و عملیات  پیشگیری و کنترل بیماری ها در زنبور عسل و کرم ابریشم  و ارزیابی اثربخشی یا عدم تاثیر روش های قبلی مبارزه با بیماری</t>
  </si>
  <si>
    <t xml:space="preserve"> 6- بازديد كارشناسي/ نمونه برداري/ نظارتي/ بررسي اپيدميولوژيك/ بازرسي/ تعين تطبيق يا عدم تطبيق اقدامات قرنطينه اي/ بيوسكيوريتي/  و ...</t>
  </si>
  <si>
    <t>7- جمع آوري اطلاعات، آمار و نتايج حاصل از عمليات پیشگیری و کنترل بیماری های زنبور عسل از بخش دولتی و خصوصی دامپزشكي و  تجزيه و تحليل آنها و انتخاب بهترين و موثر ترين روش براي پیشگیری و کنترل بيماري ها</t>
  </si>
  <si>
    <t>8- پيش بيني وسايل، تجهيزات، مواد بيولوژيك، سموم و مواد دارويي و نظارت بر توزيع و مصرف آن</t>
  </si>
  <si>
    <t xml:space="preserve">9- اقدامات لازم در خصوص ميزان تاثير  دارو </t>
  </si>
  <si>
    <t>10- بررسي ميزان بروز، شيوع و تلفات اقتصادي ناشي از بيماري هاي زنبور و کرم ابریشم در سطح كشور و چگونگي انتقال بيماري ها</t>
  </si>
  <si>
    <t>12- برنامه ريزي، هماهنگي و اجراء بمنظور آموزش و اطلاع رساني در امر بهداشت عمومي به بهره وران</t>
  </si>
  <si>
    <t>1-2-4-1</t>
  </si>
  <si>
    <t xml:space="preserve"> مراقبت و کنترل بیماری های زنبور عسل</t>
  </si>
  <si>
    <t>1-2-4-2</t>
  </si>
  <si>
    <t>1-2-4-3</t>
  </si>
  <si>
    <t>1-2-4-4</t>
  </si>
  <si>
    <t>1-2-4-5</t>
  </si>
  <si>
    <t>1-2-4-6</t>
  </si>
  <si>
    <t xml:space="preserve"> نظام مراقبت بيماري سوسک کوچک کندو</t>
  </si>
  <si>
    <t>1-2-4-7</t>
  </si>
  <si>
    <t xml:space="preserve"> نظام مراقبت بيماري مایت تروپیلا</t>
  </si>
  <si>
    <t>1-2-4-8</t>
  </si>
  <si>
    <t xml:space="preserve"> مراقبت و کنترل بیماری های کرم ابریشم</t>
  </si>
  <si>
    <t xml:space="preserve"> نظام مراقبت بيماري گلاسری</t>
  </si>
  <si>
    <t>1-2-4-9</t>
  </si>
  <si>
    <t xml:space="preserve"> نظام مراقبت بيماري فلاشری</t>
  </si>
  <si>
    <t>1-2-4-10</t>
  </si>
  <si>
    <t xml:space="preserve"> نظام مراقبت بيماري موسکاردین </t>
  </si>
  <si>
    <t>1-2-4-11</t>
  </si>
  <si>
    <t xml:space="preserve"> نظام مراقبت بيماري پبرین</t>
  </si>
  <si>
    <t xml:space="preserve"> هدف کمی 5-2-1: کاهش بروز بیماری های واگیر دام در واحدهای اپیدمیولوژیک از 14.060 در صد (کانون) در سال پایه به 10.556 درصد (کانون) در پایان برنامه</t>
  </si>
  <si>
    <t>1- ایجاد سیستم مراقبت بیماری های واگیر دام و نظارت، پیگیری و اجرای آنها</t>
  </si>
  <si>
    <t xml:space="preserve"> 2- تهيه، تنظيم و اجراء برنامه هاي پيشگيري و مبارزه بر عليه بيماري هاي باكتريايي، ويروسي، انگلي و قارچي دام ، طيور و آبزيان و صدور بخشنامه ها و دستورالعمل هاي لازم جهت كنترل و ريشه كني بيماري هاي مزبور</t>
  </si>
  <si>
    <t xml:space="preserve">3- ارتقاء سطح ايمني دام از طريق مايه كوبي بر عليه بيماري هاي واگیر دام </t>
  </si>
  <si>
    <t>4- نظارت بر عمليات پيشگيري و كنترل بيماري هاي واگیر دام كه توسط بخش خصوصي انجام مي گيرد</t>
  </si>
  <si>
    <t>5- استقرار سيستم زنجيره سرد حمل/ نگهداري/ توزيع واکسن و مواد بیولوژیک</t>
  </si>
  <si>
    <t>6-  اقدامات قرنطینه ای و امنیت زیستی در کانون طغیان و ...</t>
  </si>
  <si>
    <t xml:space="preserve">7- نظارت بر برنامه ها ، طرحهای پیشگیری و کنترل بیماری های واگیر دام </t>
  </si>
  <si>
    <t>8-  اقدامات لازم در خصوص تعيين تعداد وتركيب نيروي انساني متخصص دامپزشكي مورد نياز در  بخش هاي دولتي و غير دولتي دامپزشكي</t>
  </si>
  <si>
    <t xml:space="preserve"> 9- اقدامات كنتر لي و ريشه كني در خصوص بيماري هاي اگزوتيك و اجراي سيستم پايش مستمر و امنيت زيستي (Bio security) شامل بازديد كارشناسي/ نمونه برداري/ نظارتي/ بررسي اپيدميولوژيك/ بازرسي/ تعين تطبيق يا عدم تطبيق اقدامات قرنطينه اي/ بيوسكيوريتي/  و ...</t>
  </si>
  <si>
    <t>10- جمع آوري اطلاعات، آمار و نتايج حاصل از عمليات پیشگیری و کنترل بیماری های واگیر دام از شبكه هاي دامپزشكي و تجزيه و تحليل آنها و انتخاب بهترين و موثر ترين روش براي پیشگیری و کنترل بيماري ها</t>
  </si>
  <si>
    <t>11- پيش بيني وسايل، تجهيزات، واكسن، مواد بيولوژيك، سموم و مواد دارويي در سطح استان و نظارت بر توزيع و مصرف آن</t>
  </si>
  <si>
    <t xml:space="preserve">12- كسب آخرين اطلاعات علمي و فني از منابع داخلي و خارجي در مورد ريشه كني بيماري هاي واگیر دام </t>
  </si>
  <si>
    <t>13- همكاري با موسسه رازي به منظور تهيه مناسبترين واكسن با توجه به نوع نژاد و شرايط محيطي و انجام اقدامات لازم براي مقابله با واكنش هاي اتفاقي (راكسيون) پس از تزريق واكسن</t>
  </si>
  <si>
    <t>14- اقدامات لازم در خصوص ميزان تاثير واكسن، مواد بيولوژيك، دارو و سموم</t>
  </si>
  <si>
    <t>15- بررسي ميزان بروز، شيوع و تلفات اقتصادي ناشي از بيماري هاي دامي سطح كشور و چگونگي انتقال بيماري ها</t>
  </si>
  <si>
    <t>16- بررسي راه هاي انتشار و انتقال بيماري ها و مشخص نمودن عوامل ذي مدخل در اكولوژي هاي مختلف</t>
  </si>
  <si>
    <t>17- انجام كليه اقدامات لازم جهت پيشگيري از احتمال سرايت و نفوذ بيماري هاي واگير دامي و اگزوتيك به داخل كشور به منظور حفظ سرمايه دامي و و نهايتاً حفظ بهداشت عمومي جامعه</t>
  </si>
  <si>
    <t>18- تدوين دستورالعمل فوریت های خدمات دامپزشکی در حوادث غیر مترقبه (اپیدمی ها، بلایا، اتفاقات انسان ساخت و ...)</t>
  </si>
  <si>
    <t>19- هماهنگی با ارگان های ذیربط جهت کسب پشتیبانی های لازم</t>
  </si>
  <si>
    <t>20- پاکسازی و ضدعفونی کانون های آلوده</t>
  </si>
  <si>
    <t>21-  قرنطینه، حذف و معدوم سازی نهاده ها و دام کانون های آلوده</t>
  </si>
  <si>
    <t>22-  استقرار سیستم هشدار به موقع Early alarm system و تشخیص سریع Early detection system</t>
  </si>
  <si>
    <t>23- برنامه ريزي، هماهنگي و اجراء بمنظور آموزش و اطلاع رساني در امر بهداشت عمومي به بهره وران</t>
  </si>
  <si>
    <t>1-2-5-1</t>
  </si>
  <si>
    <t>پیشگیری و کنترل بیماری های استراتژیک دامی</t>
  </si>
  <si>
    <t>1-2-5-2</t>
  </si>
  <si>
    <t>1-2-5-3</t>
  </si>
  <si>
    <t>1-2-5-4</t>
  </si>
  <si>
    <t>1-2-5-5</t>
  </si>
  <si>
    <t>1-2-5-6</t>
  </si>
  <si>
    <t>پیشگیری، کنترل و کاهش شیوع و بروز بیماری های واگیردار دامی و کاهش بار بیماری های غیر واگیر دام</t>
  </si>
  <si>
    <t xml:space="preserve"> پیشگیری، کنترل و کاهش شیوع و بروز بیماری يون در گله هاي گاوشيري</t>
  </si>
  <si>
    <t>1-2-5-7</t>
  </si>
  <si>
    <t xml:space="preserve"> پیشگیری، کنترل و کاهش شیوع و بروز بیماری لپتوسپيروز</t>
  </si>
  <si>
    <t>1-2-5-8</t>
  </si>
  <si>
    <t xml:space="preserve"> پیشگیری، کنترل و کاهش شیوع و بروز بیماری پاستورولوز</t>
  </si>
  <si>
    <t>1-2-5-9</t>
  </si>
  <si>
    <t xml:space="preserve"> پیشگیری، کنترل و کاهش شیوع و بروز بیماری پلوروپنوموني واگير بزان  </t>
  </si>
  <si>
    <t>1-2-5-10</t>
  </si>
  <si>
    <t xml:space="preserve"> پیشگیری، کنترل و کاهش شیوع و بروز بیماری شاربن علامتي</t>
  </si>
  <si>
    <t>1-2-5-11</t>
  </si>
  <si>
    <t xml:space="preserve"> پیشگیری، کنترل و کاهش شیوع و بروز بیماری هپاتيت نكروزان</t>
  </si>
  <si>
    <t>1-2-5-12</t>
  </si>
  <si>
    <t xml:space="preserve"> پیشگیری، کنترل و کاهش شیوع و بروز بیماری زبان آبي</t>
  </si>
  <si>
    <t>1-2-5-13</t>
  </si>
  <si>
    <t xml:space="preserve"> پیشگیری، کنترل و کاهش شیوع و بروز بیماری آنتروتكسمي</t>
  </si>
  <si>
    <t>1-2-5-14</t>
  </si>
  <si>
    <t xml:space="preserve"> پیشگیری، کنترل و کاهش شیوع و بروز بیماری آگالاکسی</t>
  </si>
  <si>
    <t>1-2-5-15</t>
  </si>
  <si>
    <t xml:space="preserve"> پیشگیری، کنترل و کاهش شیوع و بروز بیماری تب بي‌دوام گاوي</t>
  </si>
  <si>
    <t>1-2-5-16</t>
  </si>
  <si>
    <t xml:space="preserve"> بررسي و مراقبت بيماري طاعون اسبي</t>
  </si>
  <si>
    <t>1-2-5-17</t>
  </si>
  <si>
    <t xml:space="preserve"> بررسي و مراقبت کم خوني عفوني اسب</t>
  </si>
  <si>
    <t>1-2-5-18</t>
  </si>
  <si>
    <t xml:space="preserve"> بررسي و مراقبت آنفلوانزاي اسبي</t>
  </si>
  <si>
    <t>1-2-5-19</t>
  </si>
  <si>
    <t xml:space="preserve"> بررسي و مراقبت آنسفاليت هاي آربوويروسي اسب</t>
  </si>
  <si>
    <t>1-2-5-20</t>
  </si>
  <si>
    <t xml:space="preserve"> بررسي و مراقبت تورم سرخرگي ويروسي اسب</t>
  </si>
  <si>
    <t>1-2-5-21</t>
  </si>
  <si>
    <t xml:space="preserve"> بررسي و مراقبت رينوپنوموني ويروسي اسب</t>
  </si>
  <si>
    <t>1-2-5-22</t>
  </si>
  <si>
    <t xml:space="preserve"> بررسي و مراقبت متريت واگير اسب</t>
  </si>
  <si>
    <t>1-2-5-23</t>
  </si>
  <si>
    <t xml:space="preserve"> بررسي و مراقبت سورا در اسب</t>
  </si>
  <si>
    <t>1-2-5-24</t>
  </si>
  <si>
    <t xml:space="preserve"> بررسي و مراقبت دورين</t>
  </si>
  <si>
    <t>1-2-5-25</t>
  </si>
  <si>
    <t xml:space="preserve"> بررسي و مراقبت پيروپلاسموز اسب</t>
  </si>
  <si>
    <t>1-2-5-26</t>
  </si>
  <si>
    <t xml:space="preserve"> بررسي و مراقبت هاري در تک سميان </t>
  </si>
  <si>
    <t>1-2-5-27</t>
  </si>
  <si>
    <t xml:space="preserve"> بررسي و مراقبت کزاز در تک سميان </t>
  </si>
  <si>
    <t>1-2-5-28</t>
  </si>
  <si>
    <t xml:space="preserve"> بررسي و مراقبت شاربن در تک سميان </t>
  </si>
  <si>
    <t>1-2-5-29</t>
  </si>
  <si>
    <t xml:space="preserve"> مبارزه با انگلهاي خارجي</t>
  </si>
  <si>
    <t>1-2-5-30</t>
  </si>
  <si>
    <t xml:space="preserve"> مبارزه با انگلهاي داخلي دام</t>
  </si>
  <si>
    <t>1-2-5-31</t>
  </si>
  <si>
    <t xml:space="preserve"> مبارزه با انگلهاي تك ياخته‌اي خوني</t>
  </si>
  <si>
    <t>1-2-5-32</t>
  </si>
  <si>
    <t xml:space="preserve"> مبارزه با مياز و ميازيس</t>
  </si>
  <si>
    <t>1-2-5-33</t>
  </si>
  <si>
    <t xml:space="preserve"> پيشگيري، كنترل، مبارزه و مراقبت تب خونريزي دهنده كريمه- كنگو </t>
  </si>
  <si>
    <t>1-2-5-34</t>
  </si>
  <si>
    <t xml:space="preserve"> مراقبت از بیماری اسكروورم دنياي جديد</t>
  </si>
  <si>
    <t>1-2-5-35</t>
  </si>
  <si>
    <t xml:space="preserve"> مراقبت از بیماری آنسفاليت اسفنجي شكل گاوان</t>
  </si>
  <si>
    <t>1-2-5-36</t>
  </si>
  <si>
    <t xml:space="preserve"> مراقبت از بیماری آنسفاليت-آرتريت بزان</t>
  </si>
  <si>
    <t>1-2-5-37</t>
  </si>
  <si>
    <t xml:space="preserve"> مراقبت از بیماری پلورو پنوموني واگير گاوان</t>
  </si>
  <si>
    <t>1-2-5-38</t>
  </si>
  <si>
    <t xml:space="preserve"> مراقبت از بیماری بيماري خونريزي دهنده اپيزئوتيك</t>
  </si>
  <si>
    <t>1-2-5-39</t>
  </si>
  <si>
    <t xml:space="preserve"> مراقبت از بیماری هارت واتر</t>
  </si>
  <si>
    <t>1-2-5-40</t>
  </si>
  <si>
    <t xml:space="preserve"> مراقبت از بیماری بيماري لومپي اسكين</t>
  </si>
  <si>
    <t>1-2-5-41</t>
  </si>
  <si>
    <t xml:space="preserve"> مراقبت از بیماری مدي-ويزنا</t>
  </si>
  <si>
    <t>1-2-5-42</t>
  </si>
  <si>
    <t xml:space="preserve"> مراقبت از بیماری بيماري گوسفندان نايروبي</t>
  </si>
  <si>
    <t>1-2-5-43</t>
  </si>
  <si>
    <t>مراقبت از بیماری های اگزوتیک، نوپدید و باز پدید دام</t>
  </si>
  <si>
    <t>1-2-5-44</t>
  </si>
  <si>
    <t>مبارزه سريع با طغیان بیماری واگیر دام</t>
  </si>
  <si>
    <t>کانون</t>
  </si>
  <si>
    <t xml:space="preserve"> اهداف کلی 2: تامین بهداشت و تضمين كيفيت فراورده های خام دامی، خوراک دام، دارو و فراورده هاي بيولوژيك </t>
  </si>
  <si>
    <t xml:space="preserve"> راهبرد 6-2: ارتقاء شاخص های سلامت و بهداشت فراورده های خام دامی و خوراک دام</t>
  </si>
  <si>
    <t xml:space="preserve">1- مطالعه و بررسي، سياستگذاري، مشاركت و نظارت  در تدوين و دستورالعمل هاي فني و اجرايي برنامه هاي ملي پایش باقیمانده های دارویی (آنتی بیوتیک ها، هورمون ها)، سموم (کلره، فسفره) و فلزات سنگین (سرب، کادمیوم، جیوه، آرسنیک)،  مایکو توکسین ها و آلاینده های میکروبی در فراورده های دامی، شیلاتی و خوراک دام و ابلاغ آنها </t>
  </si>
  <si>
    <t xml:space="preserve"> 2- پيش بيني و اقدام به منظور تامين لوازم فني و تجهيزات لازم جهت اجراي برنامه ملی پایش باقیمانده های دارویی (آنتی بیوتیک ها، هورمون ها)، سموم (کلره، فسفره) و فلزات سنگین (سرب، کادمیوم، جیوه، آرسنیک)،  مایکو توکسین ها و آلاینده های میکروبی در فراورده های دامی، شیلاتی و خوراک دام</t>
  </si>
  <si>
    <t xml:space="preserve"> 3- توانمند سازی انجام كليه آزمايش هاي ميكروبيولوژي، بيوشيميايي، سم شناسي، مواد غذايي، ايمونولوژي، مولكولار، بيولوژي، پاتولوژي و ...</t>
  </si>
  <si>
    <t xml:space="preserve"> 4- تدوين مقررات و ضوابط بهداشتی </t>
  </si>
  <si>
    <t xml:space="preserve"> 5- گردآوري و تنظيم مقررات و قوانين بين المللي در خصوص پملي پایش باقیمانده های دارویی (آنتی بیوتیک ها، هورمون ها)، سموم (کلره، فسفره) و فلزات سنگین (سرب، کادمیوم، جیوه، آرسنیک)،  مایکو توکسین ها و آلاینده های میکروبی در فراورده های دامی، شیلاتی و خوراک دام</t>
  </si>
  <si>
    <t xml:space="preserve"> 6- تهيه آنتي ژن ها، آنتي سرم ها، معرف ها و به طور كلي موادي كه به طرق گوناگون در آزمايشات تشخيصی و اجرای برنامه ملي پایش باقیمانده های دارویی (آنتی بیوتیک ها، هورمون ها)، سموم (کلره، فسفره) و فلزات سنگین (سرب، کادمیوم، جیوه، آرسنیک)،  مایکو توکسین ها و آلاینده های میکروبی در فراورده های دامی، شیلاتی و خوراک دام مورد استفاده قرار مي گيرد</t>
  </si>
  <si>
    <t>7- تدوين SOP براي انجام آزمايش هاي تشخيصي  و اجرای برنامه ملي پایش باقیمانده های دارویی (آنتی بیوتیک ها، هورمون ها)، سموم (کلره، فسفره) و فلزات سنگین (سرب، کادمیوم، جیوه، آرسنیک)،  مایکو توکسین ها و آلاینده های میکروبی در فراورده های دامی، شیلاتی و خوراک دام</t>
  </si>
  <si>
    <t>تعداد ارزیابی</t>
  </si>
  <si>
    <t xml:space="preserve"> اهداف کلی 2:    ارتقاء بهداشت و تضمين كيفيت فراورده های خام دامی، خوراک دام، دارو و فراورده هاي بيولوژيك </t>
  </si>
  <si>
    <t>راهبرد 8-2: توسعه آزمایشگاه های کنترل کیفی فراورده های خام دامی و خوراک دام، دارو و فراورده هاي بيولوژيك</t>
  </si>
  <si>
    <t>هدف کمی 9-8-2: /توسعه آزمایشگاه های مرجع منطقه ای کنترل کیفی فراورده های دامی، خوراک دام در پنج منطقه تا پایان برنامه
/توسعه كمي و كيفي آزمون های تشخيصی و كنترل كيفي دامپزشكي 25 درصد نسبت به سال پایه تا پایان برنامه
/اعتبار بخشی آزمون های تشخيصی و كنترل كيفي فراورده های دامی، خوراک دام، دارو و فراورده هاي بيولوژيك از تعداد 25 در سال پایه به 100 درصد تا پایان برنامه</t>
  </si>
  <si>
    <t xml:space="preserve">1- مطالعه، سياستگذاري، برنامه ريزي و پيگيري توسعه كمي و كيفي شبكه هاي مختلف آزمايشگاهي تشخيص و كنترل كيفي دامپزشكي </t>
  </si>
  <si>
    <t xml:space="preserve">2- مرجعيت تاييد تشخيص بيماريهاي مرضي دام، طيور، آبزيان،زنبور عسل، كرم ابريشم و حيات وحش در كشور و ارائه گزارش بروز بيماريهاي قابل گزارش (Notifible) به مقامات مسئول </t>
  </si>
  <si>
    <t>3- شركت در برنامه هاي كنترلي و نظارتي مراجع بين المللي(مميزي و انجام آزمون هاي مقايسه اي در جهت نظارت فني و ارزيابي فعاليت آزمايشگاه).</t>
  </si>
  <si>
    <t>4-  تاييد و نظارت بر آزمايشات كنترلي مواد غذائي، دارو، فراورده هاي بيولوژيك صادراتي و وارداتي و مطابقت آن با استانداردهاي داخلي</t>
  </si>
  <si>
    <t>5- همكاري و مشاركت با مراجع بين المللي نظير  WHO.OIE.FAO  و ... در چارچوب سياست هاي سازمان دامپزشكي‌كشوردراجراي‌برنامه هاي مراقبت ومبارزه بابيماريهاي دامي درسطوح ملي،منطقه اي وبين‌المللي</t>
  </si>
  <si>
    <t>6- انجام فعاليت هاي پژوهشي با همكاري مراكز علمي و پژوهشي در راستاي بهبود، ارتقاء و به روز نمودن آزمون هاي تشخيصي در كشور</t>
  </si>
  <si>
    <t xml:space="preserve">7- مرجع ذيصلاح براي تهيه مواد مرجع (Reference Material) ، تهيه استاندارد ملي در زمينه سوش هاي ميكروبي ، كنترل مثبت و منفي ، آنتي ژن ، آنتي بادي و همچنين استانداردهاي داروئي و فرآورده هاي بيولوژيك براي استفاده در مركز و ساير آزمايشگاههاي دامپزشكي </t>
  </si>
  <si>
    <t>8- مطالعه، نظارت، سياستگذاري، ارزيابي، اظهار نظر، تدوين ضوابط و دستورالعمل در خصوص مديريت همكاري با آزمايشگاههاي منطقه اي، بين المللي و جهاني تعيين آزمايشگاههاي ملي وTwin labبا آزمايشگاههاي خارج از كشور و ايجاد شبكه آزمايشگاهي كشوري</t>
  </si>
  <si>
    <t>9- مطالعه، نظارت، سياستگذاري، ارزيابي، اظهار نظر، مميزي، تدوين ضوابط و دستورالعمل، تعيين و اعلام استراتژي در خصوص مراكز تشخيصي، آزمايشگاه هاي مرجع و بخش خصوصي</t>
  </si>
  <si>
    <t xml:space="preserve">10- مطالعه، سياستگذاري، برنامه ريزي و پيگيري توسعه كمي و كيفي شبكه هاي مختلف آزمايشگاهي تشخيص و كنترل كيفي دامپزشكي </t>
  </si>
  <si>
    <t>11- انجام كليه آزمايش هاي ميكروبيولوژي، بيوشيميايي، سم شناسي، مواد غذايي، ايمونولوژي، مولوكولاربيولوژي، پاتولوژي و ...</t>
  </si>
  <si>
    <t>12- تهيه بانك سوش هاي ميكروبي، قارچي، ويروسي، انگلي بيماري زاي شايع در كشور و نگهداري سوش هاي استاندارد جهاني</t>
  </si>
  <si>
    <t>13- نگهداري و پرورش حيوانات آزمايشگاهي، تامين تخم مرغ SPF مورد نياز</t>
  </si>
  <si>
    <t xml:space="preserve">14- مطالعه، سياستگذاري ، برنامه ريزي و پيگيري برنامه ملي اعتبار بخشي آزمايشگاه هاي بخش دولتي و غير دولتي دامپزشكي  </t>
  </si>
  <si>
    <t>15- ارتقاء و به روز نمودن آزمون هاي تشخيصي و کنترل کیفی در كشور</t>
  </si>
  <si>
    <t>16- شركت در برنامه هاي كنترلي و نظارتي مراجع بين المللي (مميزي و انجام آزمون هاي مقايسه اي در جهت نظارت فني و ارزيابي فعاليت آزمايشگاه)</t>
  </si>
  <si>
    <t>17-  تاييد و نظارت بر آزمايشات كنترلي مواد غذائي، دارو، فراورده هاي بيولوژيك صادراتي و وارداتي و مطابقت آن با استانداردهاي داخلي</t>
  </si>
  <si>
    <t>18- مطالعه و بررسي پروتكل هاي مربوط به نحوه توليد مواد بيولوژيك و ايمونولوژيك</t>
  </si>
  <si>
    <t>19- انجام فعاليت هاي پژوهشي با همكاري مراكز علمي و پژوهشي در راستاي بهبود، ارتقاء و به روز نمودن آزمون هاي تشخيصي و کنترل کیفی در كشور</t>
  </si>
  <si>
    <t>20- تدوين SOP  ملي جهت استفاده در تهيه و نيز آزمايش هاي كنترل كيفي مواد بيولوژيك</t>
  </si>
  <si>
    <t>21- ارتقاء روش هاي تعين و اندازه گيري آنتي بيوتيك ها و مواد شيميايي نگهدارنده محافظت كننده</t>
  </si>
  <si>
    <t>22- ميمزي و نظارت بر عملكرد فني آزمايشگاههاي دولتي و غير دولتي دامپزشكي</t>
  </si>
  <si>
    <t>23- افزایش موارد پایش باقیمانده دارو و سموم فراورده های خام دامی و خوراک دام</t>
  </si>
  <si>
    <t>2-8-9-1</t>
  </si>
  <si>
    <t>توسعه كمي و كيفي آزمون های تشخيصی و كنترل كيفي دامپزشكي</t>
  </si>
  <si>
    <t>هزار آزمایش</t>
  </si>
  <si>
    <t>2-8-9-2</t>
  </si>
  <si>
    <t xml:space="preserve">تکمیل ،تجهیز و راه اندازی آزمایشگاهها  و  مراکز تشخیص  مرجع دامپزشکی </t>
  </si>
  <si>
    <t>2-8-9-3</t>
  </si>
  <si>
    <t xml:space="preserve"> تجهیز و راه اندازی آزمایشگاه بخش خصوصی</t>
  </si>
  <si>
    <t>2-8-9-4</t>
  </si>
  <si>
    <t xml:space="preserve">تهيه و تدوين روش هاي اجرايي آزمون (SOP) و صحه گذاري (Validation) و تاييد (Verification) آنها </t>
  </si>
  <si>
    <t>مورد آزمون</t>
  </si>
  <si>
    <t>2-8-9-5</t>
  </si>
  <si>
    <t xml:space="preserve">اعتبار بخشي آزمون هاي در حال انجام </t>
  </si>
  <si>
    <t>2-8-9-6</t>
  </si>
  <si>
    <t>دریافت گواهی انطباق با الزامات سیستم های کیفیت آزمایشگاهی در سطح ملی و بین مللی</t>
  </si>
  <si>
    <t>تعداد گواهی</t>
  </si>
  <si>
    <t xml:space="preserve"> اهداف کلی 2:   ارتقاء بهداشت و تضمين كيفيت فراورده های خام دامی، خوراک دام، دارو و فراورده هاي بيولوژيك </t>
  </si>
  <si>
    <t xml:space="preserve"> راهبرد 10-2: ارتقاء بهداشت ناوگان حمل و نقل</t>
  </si>
  <si>
    <t xml:space="preserve"> هدف کمی 10-10-2: افزايش تعداد ناوگان اختصاصي و بهداشتي حمل و نقل از 33600 به 43675 تا پايان برنامه</t>
  </si>
  <si>
    <t>1- سياست گذاري، برنامه ريزي ، نظارت و اعمال ضوابط بهداشتي و قرنطينه اي و امنيت  زيستي براي ورود و خروج و نقل و انتقال دام و فرآورده هاي دامي( ملي و بين المللي) و صدور مجوزهاي بهداشتي مرتبط</t>
  </si>
  <si>
    <t>2- تهيه، تنظيم، پيش بيني و اجراء برنامه هاي ساليانه سيستم نظارت و قرنطينه در حمل و نقل انواع دام و توليدات دامي و شيلاتي در كشور</t>
  </si>
  <si>
    <t>3- استقرار سيستم نظارت و قرنطينه در حمل و نقل انواع دام و توليدات دامي و شيلاتي در كشور</t>
  </si>
  <si>
    <t>4- انجام كليه اقدامات لازم جهت پيشگيري از احتمال سرايت و نفوذ بيماري هاي واگير دامي و اگزوتيك به داخل كشور به منظور حفظ سرمايه دامي و و نهايتاً حفظ بهداشت عمومي جامعه</t>
  </si>
  <si>
    <t>5- تهيه و تنظيم و اعمال دستورالعمل ها و ضوابط بهداشتي جهت صادرات و واردات دام زنده و فراورده هاي خام دامي با توجه به توصيه هاي بهداشت جهاني و آخرين دستاوردهاي علمي</t>
  </si>
  <si>
    <t>6- صدور گواهي نامه ها و مجوزهاي بهداشتي صادرات و واردات و ترانزيت دام زنده و فراورده هاي خام دامي پس از اقدامات قرنطينه اي و كنترل هاي بهداشتي بر اساس مقررات مربوط</t>
  </si>
  <si>
    <t xml:space="preserve"> 7- تجهيز و تكميل پست هاي قرنطينه و پيگيري هاي لازم در ارتباط با اجراي مقررات و دستورالعمل هاي بهداشتي و قرنطينه اي در سطح كشور </t>
  </si>
  <si>
    <t>8- مراقبت در اجراي برنامه هاي كنترل بهداشتي، نقل و انتقال دام، فراورده هاي دامي در داخل كشور از طريق ايجاد پست هاي قرنطينه ثابت و موقت طبق برنامه هاي سازماني</t>
  </si>
  <si>
    <t>9- تهيه، تنظيم، تدوين و تجديد قراردادها، تفاهم نامه ها، پروتكل هاي بهداشتي بين كشور هاي همسايه و طرف قرارداد و نظارت بر اجراي دقيق مفاد آنها با هماهنگي وزارت متبوع و وزارت امور خارجه و با رعايت مقررات مربوطه</t>
  </si>
  <si>
    <t>10- كنترل بهداشتي و ورود وخروج دام وفرآورده هاي خام دامي و نظارت در نقل وانتقال آنها وصدور گواهي بهداشتي دام وفرآورده هاي خام دامي كه به خارج صادر مي شود</t>
  </si>
  <si>
    <t xml:space="preserve">11- ايجاد پست هاي قرنطينه در داخل كشور و پايانه هاي مرزي به منظور اعمال مقررات بهداشتي و قرنطينه اي 
</t>
  </si>
  <si>
    <t>12- برنامه ريزي وهماهنگي ترويج و انتقال آخرين يافته هاي بهداشتي ، قرنطينه اي و امنيت زيستي دامپزشكي به بهره‌برداران مرتبط ازطريق واحدهاي عملياتي تابعه</t>
  </si>
  <si>
    <t>13- مطالعه ومشاركت در سياستگذاري وتدوين دستورالعمل ها وضوابط بهداشتي قرنطينه اي و امنيت زيستي براي واردات، صادرات ونقل وانتقال دارو، واكسن، سرم، ضد عفوني كننده ها سموم ومواد بيولوژيك ومواد اوليه آنها</t>
  </si>
  <si>
    <t>14- مطالعه ومشاركت در سياستگذاري وتدوين دستورالعمل ها وضوابط بهداشتي قرنطينه اي و امنيت زيستي براي واردات، صادرات ونقل وانتقال دارو، واكسن، سرم، ضد عفوني كننده ها سموم ومواد بيولوژيك ومواد اوليه آنها</t>
  </si>
  <si>
    <t>15- مطالعه، بررسي، برنامه ريزي، نظارت، پيگيري و اقدام براي ايجاد پست هاي قرنطينه درمناسب ترين نقاط مرزي و داخل كشور</t>
  </si>
  <si>
    <t>16- مطالعه وتدوين دستورالعمل ها وضوابط وفرمهاي صدور گواهي نامه ها ومجوزهاي بهداشتي واردات، صادرات، ترانزيت دام وفرآورده هاي خام دامي ونظارت بر حسن اجراي آنها</t>
  </si>
  <si>
    <t>2-10-10-1</t>
  </si>
  <si>
    <t>تعداد پروانه اشتغال به حمل</t>
  </si>
  <si>
    <t>2-10-10-2</t>
  </si>
  <si>
    <t>2-10-10-3</t>
  </si>
  <si>
    <t>توسعه صدور گواهی بهداشتی و قرنطینه ای حمل و نقل دام ، طيور و آبزيان (زنده)</t>
  </si>
  <si>
    <t>صدور گواهی</t>
  </si>
  <si>
    <t>2-10-10-4</t>
  </si>
  <si>
    <t>توسعه صدور گواهی بهداشتی و قرنطینه ای حمل و نقل توليدات دامي، دارو و فراورده های بیولوژیک</t>
  </si>
  <si>
    <t>2-10-10-5</t>
  </si>
  <si>
    <t xml:space="preserve"> توسعه شبکه قرنطینه مرزی، بین استانی ثابت</t>
  </si>
  <si>
    <t>2-10-10-6</t>
  </si>
  <si>
    <t xml:space="preserve"> توسعه شبکه قرنطینه مرزی، بین استانی سیار</t>
  </si>
  <si>
    <t>2-10-10-7</t>
  </si>
  <si>
    <t xml:space="preserve"> دسترسی واحدهای مجری به زیرساخت فیزیکی، تجهیزاتی IT و نرم افزاری ورود اطلاعات در سیستم یکپارچه</t>
  </si>
  <si>
    <t xml:space="preserve"> واحدهای مجری</t>
  </si>
  <si>
    <t>2-10-10-8</t>
  </si>
  <si>
    <t xml:space="preserve">صدور مجوز  ورود و صدور و نظارت برمحصولات وارداتي و صادراتي انواع دارو ، فرآورده هاي بيولوژيك، سرم ، مواد ضدعفوني كننده ، سموم ، افزودني  خوراك دام ، آنزيم ها ، پروبيوتيك ها و نظاير آن كه به نحوي از انحاء مورد مصرف دامپزشكي مي باشد </t>
  </si>
  <si>
    <t>2-10-10-9</t>
  </si>
  <si>
    <t>استقرار و توسعه شبكه ملي ثبت انواع دارو، فراورده هاي بيولوژيك، سرم، ضدعفوني كننده، سموم، افزودني خوراك دام، آنزيم ها، پروبيوتيك ها و نظاير آن كه به نحوي از انحاء مورد مصرف دامپزشكي مي باشد</t>
  </si>
  <si>
    <t>تعداد ثبت دارو</t>
  </si>
  <si>
    <t>2-10-10-10</t>
  </si>
  <si>
    <t>استقرار و توسعه شبكه ارزيابي محصول پس از عرضه به بازار انواع دارو، فراورده هاي بيولوژيك، سرم، ضدعفوني كننده، سموم، افزودني خوراك دام، آنزيم ها، پروبيوتيك ها و نظاير آن كه به نحوي از انحاء مورد مصرف دامپزشكي مي باشد</t>
  </si>
  <si>
    <t>2-10-10-11</t>
  </si>
  <si>
    <t xml:space="preserve"> اهداف کلی 3:  ارتقاء كيفيت و بهداشت واحدهای تولیدی، توزیعی، عرضه و خدمات مرتبط با دامپزشکی</t>
  </si>
  <si>
    <t xml:space="preserve"> راهبرد 11-3: استقرار سامانه های GMP, HACCP  و .... در واحدهای تولیدی، توزیعی، عرضه و خدمات مرتبط با دامپزشکی</t>
  </si>
  <si>
    <t xml:space="preserve"> هدف کمی 11-11-3: افزايش تعداد واحدهاي داراي گواهي هاي استقرار سامانه هاي GMP, HACCP  و ....  از 326 به  618  تا پايان برنامه</t>
  </si>
  <si>
    <t>1- سياست گذاري، برنامه ريزي، نظارت و اعمال ضوابط بهداشتي و قرنطينه اي و امنيت زيستي در واحدهای تولیدی، توزیعی، عرضه و خدمات مرتبط با دامپزشکی</t>
  </si>
  <si>
    <t>2- تهيه، تنظيم، پيش بيني و اجراء برنامه هاي ساليانه  نظارت و اعمال ضوابط بهداشتي و قرنطينه اي و امنيت زيستي در واحدهای تولیدی، توزیعی، عرضه و خدمات مرتبط با دامپزشکی</t>
  </si>
  <si>
    <t>3- راه اندازي شبكه ملي تجزيه و تحليل خطرات احتمالي براي جلوگيري از ورود عوامل بيماري زا به واحدهای تولیدی، توزیعی، عرضه و خدمات مرتبط با دامپزشکی</t>
  </si>
  <si>
    <t>4- سياستگذاري، برنامه ريزي و مديريت بحران و واكنش هاي سريع براي بهداشت دام و ايمني مواد غذايي در واحدهای تولیدی، توزیعی، عرضه و خدمات مرتبط با دامپزشکی</t>
  </si>
  <si>
    <t>5- ايجاد و توسعه كمي وكيفي شبكه هاي مختلف آزمايشگاهي تشخيص وكنترل كيفي به منظور حمايت شبكه مراقبت بيماري هاي دام و آبزيان واستانداردسازي آنها</t>
  </si>
  <si>
    <t>6- تدوين و مديريت برنامه ملي اعتبار بخشي آزمايشگاههاي دامپزشكي كشور (تحقيقاتي- اجرايي – دولتي- غيردولتي )</t>
  </si>
  <si>
    <t xml:space="preserve"> 7- سياستگذاري و تعيين ضوابط توليد و پرورش حيوانات آزمايشگاهي و استاندارد گذاري آنان و تدوين مقررات و آيين نامه هاي لازم و اعمال انان براي پرهيز و اجتناب از آزار حيوانات وبه حداقل رساندن مطالعات in vivo (حيوانات زنده)</t>
  </si>
  <si>
    <t>8- برنامه ريزي و اجراي برنامه هاي مرتبط با بيوتكنولوژي و طب مكمل در دامپزشكي</t>
  </si>
  <si>
    <t>9- سياست گذاري ، برنامه ريزي و نظارت بر اجراي ضوابط مربوط به پسماندهاي دامپزشكي در واحدهای تولیدی، توزیعی، عرضه و خدمات مرتبط با دامپزشکی</t>
  </si>
  <si>
    <t>10- انجام نظارت هاي موثر بر مراكز و كارخانه هاي  توليد و فرآوري، ورود، صدور و توزيع انواع دارو ، واكسن، سرم، ضدعفوني كننده ها، سموم و مواد بيولوژيك و مواد اوليه مورد مصرف دامپزشكي</t>
  </si>
  <si>
    <t>13- مطالعه و مشاركت در سياستگذاري و تدوين دستورالعمل ها و ضوابط بهداشتي قرنطينه اي و امنيت زيستي براي واردات، صادرات و نقل و انتقال دارو، واكسن، سرم، ضد عفوني كننده ها سموم و مواد بيولوژيك و مواد اوليه آنها مورد نیاز واحدهای تولیدی، توزیعی، عرضه و خدمات مرتبط با دامپزشکی</t>
  </si>
  <si>
    <t>14- مطالعه، برنامه ريزي و نظارت بر مراكز استحصال ، فراوری، عمل آوری، بسته بندی و صنایع مرتبط با گوشت و كارخانه هاي توليد و فرآوري، وارداتی، صادراتی و شرکت های پخش و توزيع انواع دارو ، مواد ضدعفوني كننده ها ، سموم ، مواد بيولوژيك و مواد اوليه كه به نحوي از انحا مورد مصرف دامپزشكي ميباشد</t>
  </si>
  <si>
    <t>15- مطالعه، سياستگذاري و پيگيري اجراي برنامه هاي مرتبط با بيوتكنولوژي در دامپزشكي</t>
  </si>
  <si>
    <t>16- مطالعه، سياستگذاري ، برنامه ريزي و نظارت بر امور تشخيص و درمان بيماري هاي دام</t>
  </si>
  <si>
    <t xml:space="preserve">17- مطالعه، سياستگذاري، نظارت، ارزيابي، اظهار نظر، مميزي، تدوين ضوابط و دستورالعمل، تعيين و اعلام استراتژي توليد، واردات، صادرات، نگهداري، توزيع، پخش، فروش و ثبت انواع دارو، فرآورده هاي بيولوژيك، سرم، مواد ضدعفوني كننده، سموم، افزودني خوراك دام، آنزيم ها، پروبيوتيك ها و نظاير آن كه به نحوي از انحاء مورد مصرف دامپزشكي مي باشد </t>
  </si>
  <si>
    <t xml:space="preserve">18- مطالعه، سياستگذاري، نظارت، ارزيابي، اظهار نظر، مميزي، تدوين ضوابط و دستورالعمل مربوط به بررسي ، ارزيابي و مديريت خطر و تدوين ضوابط فني و اجرايي مرتبط با توليد، واردات، صادرات، نگهداري، توزيع، پخش، فروش انواع دارو، فرآورده هاي بيولوژيك، سرم، مواد ضدعفوني كننده، سموم، افزودني خوراك دام، آنزيم ها، پروبيوتيك ها و نظاير آن كه به نحوي از انحاء مورد مصرف دامپزشكي مي باشد </t>
  </si>
  <si>
    <t xml:space="preserve">19- مطالعه، سياستگذاري، نظارت، ارزيابي، اظهار نظر، مميزي، تدوين ضوابط و دستورالعمل صدور پروانه جهت كارخانجات توليدكننده و يا مجوز توليد براي هرقلم از انواع دارو، فرآورده هاي بيولوژيك، سرم، مواد ضدعفوني كننده، سموم، افزودني خوراك دام، آنزيم ها، پروبيوتيك ها و نظاير آن كه به نحوي از انحاء مورد مصرف دامپزشكي مي باشد </t>
  </si>
  <si>
    <t xml:space="preserve">20- كنترل، نظارت، بازرسي، مميزي كارخانجات توليدكننده، صادر و واردكننده، توزيع، پخش، نگهداري و فروش انواع دارو، واكسن و موادبيولوژيك، سرم، ضدعفوني كننده، سموم، افزودني خوراك دام، آنزيم، پروبيوتيك و نظاير آن كه به نحوي از انحاء مورد مصرف دامپزشكي مي باشد </t>
  </si>
  <si>
    <t xml:space="preserve">21- مطالعه، نظارت، بررسي ومجوز ثبت انواع دارو، فراورده هاي بيولوژيك، سرم، ضدعفوني كننده، سموم، افزودني خوراك دام، آنزيم ها، پروبيوتيك ها و نظاير آن كه به نحوي از انحاء مورد مصرف دامپزشكي مي باشد و تطابق آن با ضوابط و استانداردهاي ملي و بين المللي و تدوين استانداردها و دستورالعملهاي مرتبط </t>
  </si>
  <si>
    <t>22- مطالعه،سياستگذاري، نظارت، ارزيابي ، اظهار نظر ، تدوين ضوابط و دستورالعمل جهت صدور پروانه شركتهاي وارد و صادر كننده توزيع ، پخش ، نگهداري ، فروش يا صدور مجوز مرتبط براي هر قلم از انواع دارو، فراورده هاي بيولوژيك، سرم، ضدعفوني كننده، سموم، افزودني خوراك دام، آنزيم ها، پروبيوتيك ها و نظاير آن كه به نحوي از انحاء مورد مصرف دامپزشكي مي باشد</t>
  </si>
  <si>
    <t xml:space="preserve">23- مطالعه، بررسي، نظارت، تحليل و جمع بندي گزارش هاي ارسالي از سوي ادارات كل دامپزشكي استانها مبني بر چگونگي اجراي دستورالعملها و ضوابط ابلاغي و تصميم گيري درخصوص نحوه نظارت و تكميل دستورالعملها و استانداردهاي مرتبط </t>
  </si>
  <si>
    <t xml:space="preserve">24- كنترل، نظارت، بازرسي، مميزي كارخانجات توليدكننده، صادر و واردكننده، توزيع، پخش، نگهداري و فروش انواع تجهيزات و لوازم درمانگاهي و نظاير آن كه به نحوي از انحاء مورد مصرف دامپزشكي مي باشد </t>
  </si>
  <si>
    <t>25- مطالعه، نظارت، سياستگذاري، ارزيابي، اظهار نظر، مميزي، تدوين ضوابط و دستورالعمل، تعيين و اعلام استراتژي در خصوص بيمارستان، درمانگاهها، كلينيكها، مراكز درماني، مايه كوبي و بخش خصوصي</t>
  </si>
  <si>
    <t>26- مطالعه، نظارت، سياستگذاري، ارزيابي، اظهار نظر، مميزي، تدوين ضوابط و دستورالعمل براي صدور پروانه در خصوص بيمارستان، درمانگاهها، كلينيكها، مراكز درماني، مايه كوبي و بخش خصوصي</t>
  </si>
  <si>
    <t>27- مطالعه، نظارت، بررسي و رسيدگي به شكايات و ارزيابي پروانه بيمارستان، درمانگاهها، كلينيكها، مراكز درماني، مايه كوبي و بخش خصوصي</t>
  </si>
  <si>
    <t>28- نظارت، هماهنگي و ابلاغ دستورالعملهاي دفتر به ادارات دامپزشكي استانها درخصوص بيمارستان، درمانگاهها، كلينيكها، مراكز درماني، مايه كوبي و بخش خصوصي</t>
  </si>
  <si>
    <t xml:space="preserve">29- مطالعه، نظارت،  سياستگذاري، ارزيابي، اظهار نظر، تدوين ضوابط و دستورالعمل براي استقرار و توسعه شبكه ملي ثبت انواع تجهيزات و لوازم و مواد تشخيصي، آزمايشگاهي و نظاير آن كه به نحوي از انحاء مورد مصرف دامپزشكي مي باشد </t>
  </si>
  <si>
    <t xml:space="preserve">30- كنترل، نظارت، بازرسي، مميزي كارخانجات توليدكننده، صادر و واردكننده، توزيع، پخش، نگهداري و فروش انواع تجهيزات و لوازم و مواد تشخيصي ، آزمايشگاهي و نظاير آن كه به نحوي از انحاء مورد مصرف دامپزشكي مي باشد </t>
  </si>
  <si>
    <t xml:space="preserve">31- مطالعه، نظارت،  بررسي و ثبت انواع تجهيزات و لوازم و مواد تشخيصي، آزمايشگاهي و نظاير آن كه به نحوي از انحاء مورد مصرف دامپزشكي مي باشد و تطابق آن با ضوابط و استانداردهاي ملي و بين المللي و تدوين استانداردها و دستورالعملهاي مرتبط </t>
  </si>
  <si>
    <t xml:space="preserve">32- مطالعه، نظارت،  بررسي و رسيدگي به شكايات و ارزيابي انواع تجهيزات و لوازم و مواد تشخيصي ، درمانگاهي و آزمايشگاهي و نظاير آن كه به نحوي از انحاء مورد مصرف دامپزشكي مي باشد و تطابق آن با ضوابط و استانداردهاي ملي و بين المللي و تدوين استانداردها و دستورالعملهاي مرتبط </t>
  </si>
  <si>
    <t>33- مطالعه ، نظارت، تهيه وتنظيم برنامه توليد ، توزيع ، فروش انواع تجهيزات و لوازم و مواد تشخيصي ، آ‌‌زمايشگاهي و نظاير آن كه به نحوي از انحاء مورد مصرف دامپزشكي مي باشد درصورت‌نياز</t>
  </si>
  <si>
    <t>34- مطالعه ، نظارت، سياستگذاري ، ارزيابي ، اظهار نظر ، تدوين ضوابط و دستورالعمل جهت صدور پروانه شركتهاي وارد و صادر كننده، توزيع ، پخش ، نگهداري ، فروش يا صدور مجوز مرتبط براي هر قلم از انواع تجهيزات و لوازم و مواد تشخيصي ، آزمايشگاهي و نظاير آن كه به نحوي از انحاء مورد مصرف دامپزشكي مي باشد</t>
  </si>
  <si>
    <t>35- مطالعه، نظارت، سياستگذاري، ارزيابي، اظهار نظر، تدوين ضوابط و دستورالعمل در خصوص مديريت همكاري با آزمايشگاههاي منطقه اي، بين المللي و جهاني تعيين آزمايشگاههاي ملي وTwin labبا آزمايشگاههاي خارج از كشور و ايجاد شبكه آزمايشگاهي كشوري</t>
  </si>
  <si>
    <t>36- مطالعه، نظارت، سياستگذاري، ارزيابي، اظهار نظر، مميزي، تدوين ضوابط و دستورالعمل، تعيين و اعلام استراتژي در خصوص مراكز تشخيصي، آزمايشگاه هاي مرجع و بخش خصوصي</t>
  </si>
  <si>
    <t>37- مطالعه، نظارت، سياستگذاري، ارزيابي، اظهار نظر، مميزي، تدوين ضوابط و دستورالعمل براي صدور پروانه در خصوص مراكز تشخيصي، آزمايشگاه هاي مرجع و بخش خصوصي</t>
  </si>
  <si>
    <t>38- نظارت ، مطالعه ، بررسي ، تحليل ، جمع بندي گزارش هاي ارسالي از سوي ادارات كل دامپزشكي استانها مبني بر چگونگي اجراي دستورالعملها و ضوابط ابلاغي و تصميم گيري درخصوص نحوه نظارت و تكميل دستورالعملها و استانداردهاي مرتبط درخصوص مراكز تشخيصي ،آزمايشگاه هاي مرجع و بخش خصوصي</t>
  </si>
  <si>
    <t xml:space="preserve">39- مطالعه، تحقيق، سیاستگذاری در تدوين و ابلاغ استانداردها، ضوابط بهداشتي قرنطينه اي و امنيت زيستي در چراگاههاِ، مراتع، آبشخورها، محل هاي نگهداري دام و ساير تاسيسات مربوط به پرورش دام </t>
  </si>
  <si>
    <t xml:space="preserve">40- مطالعه و سیاستگذاری در تدوين و ابلاغ استانداردها، ضوابط بهداشتي قرنطينه اي و امنيت زيستي در كشتارگاه‌ها و كارخانه‌هاي توليد و فرآوري محصولات دامي </t>
  </si>
  <si>
    <t xml:space="preserve">41- مطالعه، برنامه ريزي، نظارت، پيگيري و اقدام براي بازرسي و كنترل كيفي بهداشتي خوراك دام و فرآورده هاي دامي از مرحله توليد تا عرضه </t>
  </si>
  <si>
    <t xml:space="preserve">42- مطالعه و تدوين ضوابط و دستور العمل هاي بازرسي و كنترل كيفي گوشت در كشتارگاهها و نظارت و پيگيري اجراي آنها </t>
  </si>
  <si>
    <t>43- مطالعه و اعلام آموزش هاي موردنياز بخش هاي دولتي و غير دولتي دامپزشكي براي اعمال ضوابط امنيت زيستي، كنترل كيفي و نظارت بر توليد تا عرضه فرآورده هاي دامي و مشاركت در اجراي آنها</t>
  </si>
  <si>
    <t xml:space="preserve">44- همكاري و مشاركت در تدوين استاندارهاي ملي مربوط به خوراك دام، فرآورده هاي دامي، اماكن دامي و صنايع وابسته به دام </t>
  </si>
  <si>
    <t xml:space="preserve">45- همكاري در اعمال مقررات شرعي ذبح و صيد </t>
  </si>
  <si>
    <t>46- ارتقاء شاخص های بهداشتی جایگاه دام GLP ( دامداري، مرغداري و آبزي پروري)</t>
  </si>
  <si>
    <t>47-  تعین شاخص های اولویت بندی خدمات پیشگیری، درمانی، تشخيصی بیماری های راهبردی</t>
  </si>
  <si>
    <t xml:space="preserve">48- احصاء خدمات قابل واگذاری به بخش غیر دولتی و نظارت بر نحوه اجراء </t>
  </si>
  <si>
    <t>49-  تدوین ضوابط و مقررات خرید راهبردی خدمات پیشگیری، درمانی، تشخيصی</t>
  </si>
  <si>
    <t>50-  تدوین ضوابط و مقررات خرید راهبردی خدمات پیشگیری، درمانی، تشخيصی</t>
  </si>
  <si>
    <t>51-  تدوین مقررات، استانداردها و دستورالعمل های اجرایی در زمینه اعطای تسهیلات و نظارت بر آن</t>
  </si>
  <si>
    <t>52-  مطالعه، تدوین، تصویب و ابلاغ سند استاندارد (مقررات، ضوابط و دستورالعمل های اجرایی) ارائه خدمات پیشگیری، درمانی، تشخیصی</t>
  </si>
  <si>
    <t>53-  بازنگری شاخص ها، فرم ها و دستورالعمل های رسیدگی به تخلفات اداری کارکنان و بخش خصوصی</t>
  </si>
  <si>
    <t>54-  بازنگری شاخص ها، فرم ها و دستورالعمل های رسیدگی به تخلفات اداری کارکنان و بخش خصوصی</t>
  </si>
  <si>
    <t xml:space="preserve">55- نظارت شرعي بر كشتارگاههاي دام و طيور ، مراكز صيد و صيادي ،‌مراكز فرآوري و ... </t>
  </si>
  <si>
    <t xml:space="preserve">56- گزينش و انتخاب و آموزش ناظرين شرعي مستقر در كشتارگاهها و صيدگاهها و نظارت بر عملكرد ايشان با انجام بازديدهاي ميداني و دوره اي </t>
  </si>
  <si>
    <t xml:space="preserve">57- تشكيل كلاس آموزشي ناظرين شرعي اعزامي به خارج از كشور </t>
  </si>
  <si>
    <t xml:space="preserve">58- گزينش و آموزش ذابحين و صيادان كشور و ايجاد بانك اطلاعات ذابحين و ناظرين </t>
  </si>
  <si>
    <t xml:space="preserve">59- تدوين آئين نامه ها و دستورالعملهاي مرتبط با قانون نظارت شرعي بر ذبح و صيد </t>
  </si>
  <si>
    <t xml:space="preserve">60- اظهار نظر در مورد حليت آبزيان وارداتي در قالب صدور گواهي حليت و اعلان آن به دفتر قرنطينه و امور بين الملل سازمان </t>
  </si>
  <si>
    <t xml:space="preserve">61- تعین قیمت تمام شده خدمات پیشگیری، درمانی، تشخیصی </t>
  </si>
  <si>
    <t>62-  بازنگری و به روز کردن تعرفه خدمات دولتی و اظهار نظر و همکاری در تعین نرخ تعرفه بخش خصوصی</t>
  </si>
  <si>
    <t>63- مطالعه، بررسي، سياستگذاري، مشاركت و نظارت در تدوين دستورالعمل هاي فني و اجرايي بهداشتي و قرنطينه اي و امنيت زيستي در کشتارگاه ها و ابلاغ آنها</t>
  </si>
  <si>
    <t>64- تهيه  آيين نامه ها، دستورالعمل ها و بخشنامه هاي لازم و نظارت بر اجرای آن ها در خصوص چگونگي كنترل بهداشتي اماكن دامي و صنايع وابسته به دام ، مراتع و آبشخورها، مراكز 65- تهيه، عمل آوري و بسته بندي فراورده هاي خوراكي و غير خوراكي دامي و مراكز توزيع و عرضه فراورده هاي خام دامي</t>
  </si>
  <si>
    <t>65- ارائه و اعمال الگوهاي بهداشتي براي ايجاد دامداري ها، كشتارگاه ها، مراكز تهيه و عمل آوري و بسته بندي فراورده هاي خوراكي و غير خوراكي دامي و كليه صنايع وابسته به دام، صنایع دارویی و شرکت های وابسته، خودروها و شناورهای حمل دام و فراورده های خام دامی، دارو و فراورده های بیولوژیک</t>
  </si>
  <si>
    <t>3-11-11-1</t>
  </si>
  <si>
    <t xml:space="preserve"> بازرسي و نظارت بهداشتي بر اماكن دامي ( دامداري  ، مرغداري  وآبزي پروري) به منظور توسعه سيستم هاي   PRPS/GAHP , HACCP در مراكز تحت پوشش</t>
  </si>
  <si>
    <t>نوبت بازدید/بازرسی</t>
  </si>
  <si>
    <t>3-11-11-2</t>
  </si>
  <si>
    <t xml:space="preserve"> بازرسي و نظارت بهداشتي بر كشتارگاه هاي دام و طيور به منظور توسعه سيستم هاي   PRPS/GMP , HACCP در مراكز تحت پوشش</t>
  </si>
  <si>
    <t>3-11-11-3</t>
  </si>
  <si>
    <t xml:space="preserve"> بازرسي و نظارت بهداشتي بر سردخانه ها، مراکز فراوری، عمل آوری و بسته بندی تولیدات دامی و شیلاتی به منظور توسعه سيستم هاي   PRPS/GMP , HACCP  در مراكز تحت پوشش</t>
  </si>
  <si>
    <t>3-11-11-4</t>
  </si>
  <si>
    <t xml:space="preserve"> بازرسي و نظارت بهداشتي بر کارخانجات خوراک دام، انبارهای نگهداری مواد اولیه خوراک دام و خوراک آماده به منظور توسعه سيستم هاي   PRPS/GMP , HACCP در مراكز تحت پوشش</t>
  </si>
  <si>
    <t>3-11-11-5</t>
  </si>
  <si>
    <t xml:space="preserve"> بازرسي و نظارت بهداشتي بر مراکز جمع آوری شیر به منظور توسعه سيستم هاي   PRPS/GMP , HACCP در مراكز تحت پوشش</t>
  </si>
  <si>
    <t>3-11-11-6</t>
  </si>
  <si>
    <t xml:space="preserve"> بازرسي و نظارت بهداشتی از مراکز، توزیع و عرضه فراورده های خام دامی، پرندگان زينتي ، ابزيان زينتي</t>
  </si>
  <si>
    <t>3-11-11-7</t>
  </si>
  <si>
    <t>لاشه</t>
  </si>
  <si>
    <t>3-11-11-8</t>
  </si>
  <si>
    <t>3-11-11-9</t>
  </si>
  <si>
    <t>توسعه نظارت های شرعی در مراکز تولید، بسته بندی و عرضه فراورده های خام دامی</t>
  </si>
  <si>
    <t>مورد</t>
  </si>
  <si>
    <t>3-11-11-10</t>
  </si>
  <si>
    <t xml:space="preserve">  بازرسي و نظارت بر مراكز تولید، پخش ، توزيع ، نگهداري و فروش انواع دارو ، فرآورده هاي بيولوژيك، سرم ، مواد ضدعفوني كننده ، سموم ، افزودني  خوراك دام ، آنزيم ها ، پروبيوتيك ها و نظاير آن كه به نحوي از انحاء مورد مصرف دامپزشكي مي باشد  به منظور توسعه سيستم هاي   PRPS/GMP , HACCP در مراكز تحت پوشش</t>
  </si>
  <si>
    <t>3-11-11-11</t>
  </si>
  <si>
    <t>صدور مجوز ، صدور پروانه و نظارت بر مراكز توليد و نظارت بر محصولات توليدي انواع دارو ، فرآورده هاي بيولوژيك، سرم ، مواد ضدعفوني كننده ، سموم ، افزودني  خوراك دام ، آنزيم ها ، پروبيوتيك ها و نظاير آن كه به نحوي از انحاء مورد مصرف دامپزشكي مي باشد  به منظور توسعه سيستم هاي   PRPS/GMP , HACCP در مراكز تحت پوشش</t>
  </si>
  <si>
    <t>تعداد صدور مجوز/ پروانه</t>
  </si>
  <si>
    <t>3-11-11-12</t>
  </si>
  <si>
    <t>صدور مجوز ، صدور پروانه و نظارت بر مراكز پخش ، توزيع ، نگهداري و فروش انواع دارو ، فرآورده هاي بيولوژيك، سرم ، مواد ضدعفوني كننده ، سموم ، افزودني  خوراك دام ، آنزيم ها ، پروبيوتيك ها و نظاير آن كه به نحوي از انحاء مورد مصرف دامپزشكي مي باشد  به منظور توسعه سيستم هاي   PRPS/GMP , HACCP در مراكز تحت پوشش</t>
  </si>
  <si>
    <t xml:space="preserve"> راهبرد 12-3: توسعه رقابت پذیری تولیدات برای صادرات</t>
  </si>
  <si>
    <t xml:space="preserve"> هدف کمی 12-12-3: صدور مجوز  IR ،EC  و ... از تعداد 157 در سال پایه به 634 در پایان برنامه</t>
  </si>
  <si>
    <t xml:space="preserve"> سیاست ها اجرایی:</t>
  </si>
  <si>
    <t>2- مشاركت فعال در كنفرانس هاي داخلي و بين المللي دامپزشكي و اعزام نماينده به اين كنفرانس ها و همچنين مبادله اطلاعات علمي با مراكز و مراجع علمي و دامپزشكي</t>
  </si>
  <si>
    <t xml:space="preserve">3- اجراي الزامات ، مقررات و دستورالعمل هاي بهداشتي سازمانهاي بين المللي مرتبط </t>
  </si>
  <si>
    <t>4-كنترل بهداشتي و ورود وخروج دام وفرآورده هاي خام دامي ونظارت در نقل وانتقال آنها وصدور گواهي بهداشتي دام وفرآورده هاي خام دامي كه به خارج صادر مي شود.</t>
  </si>
  <si>
    <t xml:space="preserve"> 7- برنامه ريزي و نظارت بمنظوراجراي مفاد موافقت نامه هاي سازمان تجارت جهاني مربوط به بهداشت دام در سطح كشور</t>
  </si>
  <si>
    <t>8- مطالعه، بررسي، تحقيق و گردآوري اطلاعات در امور همكاري هاي بين المللي و سازمان هاي تخصصي مرتبط با دامپزشكي.</t>
  </si>
  <si>
    <t>9- تهيه و تدوين خط مشي ها، سياستگذاري و برنامه ريزي همكاري هاي بين المللي و منطقه اي دامپزشكي</t>
  </si>
  <si>
    <t>10- تهيه و تدوين ضوابط و دستورالعمل هاي اجرايي امور بين الملل و سازمان هاي تخصصي</t>
  </si>
  <si>
    <t xml:space="preserve">11- مشاركت در تدوين و تصويب قوانين، مقررات، ضوابط بين الملل و دستورالعملهاي اجرايي بهداشت دام و دامپزشكي در سازمان جهاني بهداشت دام، سازمان خواربار و كشاورزي ملل متحد، كميسيون توليد و بهداشت دام آسيا و اقيانوسيه، سازمان بهداشت جهاني، برنامه كنترل بيماريهاي مشترك انسان و دام مديترانه، سازمان همكاريهاي اقتصادي (اكو)، كميسيون تدوين مقررات مواد غذايي ( كدكس اليمنتاريوس ) و ...
</t>
  </si>
  <si>
    <t>16- مطالعه وتدوين دستورالعمل ها وضوابط وفرمهاي صدور گواهي نامه ها EC و IHR</t>
  </si>
  <si>
    <t>17- مطالعه، برنامه ريزي، نظارت، پيگيري واقدام براي استقرار شبكه ملي نظارت وكنترل برتردد دام و فرآورده هاي دامي با  استفاده از آخرين يافته هاي علمي و فن آوري</t>
  </si>
  <si>
    <t>18- مطالعه وتدوين دستورالعمل ها وضوابط وفرمهاي صدور گواهي نامه ها ومجوزهاي بهداشتي واردات، صادرات، ترانزيت دام وفرآورده هاي خام دامي ونظارت بر حسن اجراي آنها</t>
  </si>
  <si>
    <t>19- شركت در نشست ها و سمينارهاي مرتبط در سطوح ملي، منطقه اي و بين المللي</t>
  </si>
  <si>
    <t xml:space="preserve">20- مطالعه ،نظارت، سياستگذاري، ارزيابي، اظهار نظر، مميزي، تدوين ضوابط و دستورالعمل، تعيين و اعلام استراتژي توليد، واردات، صادرات، نگهداري، توزيع، پخش، فروش، رها سازي و ثبت انواع موجودات ژنتيكي زنده تغيير شكل يافته حاصل از فناوري زيستي جديد و حفاظت از ذخائر ژنتيكي و بانك ژن و نظاير آن كه به نحوي از انحاء مورد مصرف دامپزشكي مي باشد </t>
  </si>
  <si>
    <t xml:space="preserve">  سال پایه
Curent situation</t>
  </si>
  <si>
    <t>3-12-12-1</t>
  </si>
  <si>
    <t>3-12-12-2</t>
  </si>
  <si>
    <t>3-12-12-3</t>
  </si>
  <si>
    <t>3-12-12-4</t>
  </si>
  <si>
    <t xml:space="preserve"> راهبرد 13-3: رتبه بندی واحدهای تولیدی، توزیعی، عرضه و خدمات مرتبط با دامپزشکی</t>
  </si>
  <si>
    <t xml:space="preserve"> هدف کمی 13-13-3:  افزايش تعداد واحدهاي داراي رتبه A از تعداد 395 در سال پایه به 1203 در پایان برنامه</t>
  </si>
  <si>
    <t xml:space="preserve">1- مطالعه، نظارت، سياستگذاري، اظهار نظر، مميزي، رتبه بندی و تدوين ضوابط فني و اجرايي مرتبط با ارزيابي خطر و مديريت خطر واحدهای تولیدی، توزیعی، عرضه و خدمات مرتبط با دامپزشکی در خصوص شرايط توليد، واردات، صادرات، نگهداري، توزيع، پخش، فروش  و ثبت </t>
  </si>
  <si>
    <t xml:space="preserve"> 4- مطالعه، نظارت، سياستگذاري، ارزيابي، اظهار نظر، مميزي، تدوين ضوابط و دستورالعمل، تعيين و اعلام استراتژي در خصوص بيمارستان، درمانگاهها، كلينيكها، مراكز درماني، مايه كوبي و بخش خصوصي</t>
  </si>
  <si>
    <t xml:space="preserve"> 5-  طراحی، تدوین و اجرای نظام ارزیابی، ارزشیابی، اعتبار بخشی و رتبه بندی  مراكز و كارخانه هاي  توليد و فرآوري، ورود، صدور و توزيع انواع دارو ، واكسن، سرم، ضدعفوني كننده ها، سموم و مواد بيولوژيك و مواد اوليه مورد مصرف دامپزشكي</t>
  </si>
  <si>
    <t>6-  طراحی، تدوین و اجرای نظام ارزیابی، ارزشیابی، اعتبار بخشی و رتبه بندی واحدهای خدمات پیشگیری، درمانی، تشخيصی دامپزشکی</t>
  </si>
  <si>
    <t>7- شركت در برنامه هاي كنترلي و نظارتي مراجع بين المللي(مميزي و انجام آزمون هاي مقايسه اي در جهت نظارت فني و ارزيابي فعاليت آزمايشگاه)</t>
  </si>
  <si>
    <t xml:space="preserve"> 8- مطالعه، نظارت، سياستگذاري، ارزيابي، اظهار نظر، تدوين ضوابط و دستورالعمل در خصوص مديريت همكاري با آزمايشگاههاي منطقه اي، بين المللي و جهاني تعيين آزمايشگاههاي ملي وTwin labبا آزمايشگاههاي خارج از كشور و ايجاد شبكه آزمايشگاهي كشوري</t>
  </si>
  <si>
    <t>9- مطالعه، بررسي، تحقيق و گردآوري اطلاعات در امور همكاري هاي بين المللي و سازمان هاي تخصصي مرتبط با دامپزشكي</t>
  </si>
  <si>
    <t xml:space="preserve">10- مطالعه، سياستگذاري ، برنامه ريزي و پيگيري برنامه ملي رتبه بندی  واحدهای تولیدی، توزیعی، عرضه و خدمات مرتبط با دامپزشکی </t>
  </si>
  <si>
    <t>11- تهيه و تدوين ضوابط و دستورالعمل هاي اجرايي امور بين الملل و سازمان هاي تخصصي مرتبط با رتبه بندی واحدهای تولیدی، توزیعی، عرضه و خدمات مرتبط با دامپزشکی</t>
  </si>
  <si>
    <t>3-13-13-1</t>
  </si>
  <si>
    <t>3-13-13-2</t>
  </si>
  <si>
    <t>3-13-17-3</t>
  </si>
  <si>
    <t>3-13-13-4</t>
  </si>
  <si>
    <t>تعداد</t>
  </si>
  <si>
    <t xml:space="preserve"> اهداف کلی 4: دسترسی كمي و كيفي  به بسته خدمات دامپزشکی</t>
  </si>
  <si>
    <t>راهبرد 17-4: ارتقاء دانش و مهارت های ذینفعان</t>
  </si>
  <si>
    <t xml:space="preserve"> هدف کمی 14-17-4: افزایش میزان آموزش /ترویج دامداران  از 500000  نفر ساعت در سال پایه به 650000  نفر ساعت در پایان برنامه
  افزایش میزان شاغلین دارای گواهی آموزش های بهداشتی صنایع مرتبط از 1079 نفر گواهی در سال پایه به 1760 نفر گواهی در پایان برنامه</t>
  </si>
  <si>
    <t>1- برنامه ريزي براي توسعه و آموزش بخش غيردولتي در حوزه دامپزشكي و صدور گواهی های لازم و نظارت بر عملكرد آنها با همكاري مراجع ذيربط.</t>
  </si>
  <si>
    <t>2- برنامه ريزي و هماهنگي بمنظور آموزش و اطلاع رساني در امر بهداشت عمومي به بهره وران</t>
  </si>
  <si>
    <t>3- هماهنگي ترويج و انتقال آخرين يافته هاي بهداشتي ، قرنطينه اي و امنيت زيستي دامپزشكي به بهره‌برداران مرتبط ازطريق واحدهاي عملياتي تابعه</t>
  </si>
  <si>
    <t>4- تعين و تشخيص نياز هاي آمو.زشي كشور در زمينه دامپزشكي و تنظيم برنامه هاي لازم</t>
  </si>
  <si>
    <t>5- برگزاری دوره های آموزشی و ترویجی مورد نیاز</t>
  </si>
  <si>
    <t xml:space="preserve">6- مطالعه و اعلام آموزش هاي مورد نياز بخش هاي دولتي و غير دولتي دامپزشكي براي اعمال ضوابط امنيت زيستي، كنترل كيفي و نظارت بر توليد تا عرضه فرآورده هاي دامي و مشاركت در اجراي آنها. </t>
  </si>
  <si>
    <t xml:space="preserve">7- برنامه ريزي براي توسعه و آموزش بخش غيردولتي در حوزه دامپزشكي و صدور گواهی های لازم </t>
  </si>
  <si>
    <t>8- برنامه ريزي و هماهنگي بمنظور آموزش و اطلاع رساني در امر بهداشت عمومي بهره وران</t>
  </si>
  <si>
    <t>4-17-14-1</t>
  </si>
  <si>
    <t>آموزش بهره وران/ ذينفعان ( دست اندر كاران دامداری ها، مرغداری ها، آبزی پروری) در خصوص  اقدامات بیوسکیوریتی براي کاهش خطر انتقال بیماری در بین دامداری ها</t>
  </si>
  <si>
    <t>نفر ساعت</t>
  </si>
  <si>
    <t>4-17-14-2</t>
  </si>
  <si>
    <t>آموزش بهره وران/ ذينفعان ( دست اندر كاران صنایع وابسته به گوشت ) در خصوص اعمال ضوابط و مقررات فنی و بهداشتی</t>
  </si>
  <si>
    <t>4-17-14-3</t>
  </si>
  <si>
    <r>
      <t xml:space="preserve">آموزش حضوري/ترويجي دست اندرکاران آزمایشگاه جهت انجام فرایند اعتبار بخشی آزمایشگاه ها </t>
    </r>
    <r>
      <rPr>
        <sz val="10"/>
        <color rgb="FF002060"/>
        <rFont val="B Mitra"/>
        <charset val="178"/>
      </rPr>
      <t>(مباحث آماری)</t>
    </r>
  </si>
  <si>
    <t>4-17-14-4</t>
  </si>
  <si>
    <t>آموزش کارشناسان قرنطینه استان ها ( ارزیابی مخاطرات، نمونه برداری)</t>
  </si>
  <si>
    <t>4-17-14-5</t>
  </si>
  <si>
    <t>آموزش حضوري/ترويجي بهره وران/ ذينفعان/مسئولین فنی بخش خصوصی (آشنایی با ضوابط و مقررات بهداشتی دامپزشکی در تجارت بین المللی )</t>
  </si>
  <si>
    <t>4-17-14-6</t>
  </si>
  <si>
    <t>آموزش بهره وران/ ذينفعان ( دست اندر كاران کارخانجات تولید دارو و مواد بیولوژیک و شرکت های وابسته و ... ) در خصوص اعمال ضوابط و مقررات فنی و بهداشتی</t>
  </si>
  <si>
    <t>4-17-14-7</t>
  </si>
  <si>
    <t>آموزش بهره وران/ ذينفعان ( دست اندر كاران خدمات پیشگیری، درمانی و آزمایشگاهی و شرکت های وابسته و ... )</t>
  </si>
  <si>
    <t>4-17-14-8</t>
  </si>
  <si>
    <t xml:space="preserve">آموزش بهره وران/ ذينفعان ( دست اندر كاران ناوگان حمل و نقل فراورده های خام دامی، دارو و  فراورده های بیولوپک) </t>
  </si>
  <si>
    <t>امنیت غذایی</t>
  </si>
  <si>
    <t>سلامت غذایی</t>
  </si>
  <si>
    <t xml:space="preserve"> راهبرد 18-4: توسعه خدمات دامپزشکی در مناطق روستایی/ عشایری</t>
  </si>
  <si>
    <t>هدف کمی 15-18-4:
 افزایش تعداد شاغلین بخش غیر دولتی دامپزشکی در شهرستان ها و مناطق کمتر توسعه یافته با جمعیت 100000 واحد دامی از  تعداد 10100 در سال پایه به 12000 در پایان برنامه
 افزایش درمانگاه های دامپزشکی ویژه مناطق روستایی و عشایری  از تعداد 0 در سال پایه به 500 در پایان برنامه</t>
  </si>
  <si>
    <t>1- سياستگذاري ، برنامه ريزي و پيگيري تامين و توسعه كمي وكيفي شاغلین بخش غیر دولتی دامپزشکی در شهرستان ها و مناطق کمتر توسعه یافته</t>
  </si>
  <si>
    <t>2-  توسعه متوازن خدمات دامپزشكي و دسترسي آسان به دارو و درمان در شهرستان ها و مناطق کمتر توسعه یافته</t>
  </si>
  <si>
    <t>3- برنامه ريزي در خصوص جذب ، جابجائي و توزيع نيروي انساني غیر دولتی دامپزشکی در شهرستان ها و مناطق کمتر توسعه یافته</t>
  </si>
  <si>
    <t>4- افزايش پوشش (ضريب نفوذ) خدمات دامپزشكي و ارتباط بيشتر و مستمر با دامداران و صاحبان دام در حوزه هاي تحت پوشش</t>
  </si>
  <si>
    <t>5- مطالعه و نيازسنجي تعداد نيروي انساني بخش غیر دولتی دامپزشکی در شهرستان ها و مناطق کمتر توسعه یافته و پيگيري جذب و تامين آن</t>
  </si>
  <si>
    <t>6- برنامه ريزي و تدوين سيستم اصولي و علمي جذب ، جابجائي وتوزيع نيروي انساني وپيگيري و نظارت بر اجراي آن با همکاری دستگاه های مرتبط</t>
  </si>
  <si>
    <t>7- تدوین مقررات، استانداردها و دستورالعمل های جذب ، جابجائي و توزيع نيروي انساني در بخش غیر دولتی دامپزشکی در شهرستان ها و مناطق کمتر توسعه یافته</t>
  </si>
  <si>
    <t>8- ارتقاء بهره وري عوامل و منابع انسانی در ارائه خدمات بخش غیر دولتی دامپزشکی در شهرستان ها و مناطق کمتر توسعه یافته</t>
  </si>
  <si>
    <t xml:space="preserve">9- سياستگذاري ، برنامه ريزي و پيگيري تامين و توسعه كمي وكيفي درمانگاه های دامپزشکی ویژه مناطق روستایی و عشایری </t>
  </si>
  <si>
    <t>10- برنامه ريزي در خصوص جذب ، جابجائي و توزيع درمانگاه های دامپزشکی ویژه مناطق روستایی و عشایری</t>
  </si>
  <si>
    <t>11- مطالعه و نيازسنجي تعداد درمانگاه های دامپزشکی ویژه مناطق روستایی و عشایری و پيگيري جذب و تامين آن</t>
  </si>
  <si>
    <t>12- توسعه خدمات دامپزشکی در مناطق روستایی و عشایری</t>
  </si>
  <si>
    <t>13- تجميع فعاليت ها و خدمات بهداشتي، پيشگيري، تشخیصی و درمانی دامپزشكي دريك مركز</t>
  </si>
  <si>
    <t>14- تدوین مقررات، استانداردها و دستورالعمل های استقرار درمانگاه های دامپزشکی ویژه مناطق روستایی و عشایری</t>
  </si>
  <si>
    <t>15- ارتقاء بهره وري عوامل و منابع انسانی در ارائه خدمات بخش غیر دولتی دامپزشکی در شهرستان ها و مناطق کمتر توسعه یافته</t>
  </si>
  <si>
    <t>17- افزايش برخورداري عشاير كوچنده از خدمات بهداشتی / درمانی  دام</t>
  </si>
  <si>
    <t>18- توسعه درمانگاه هاي دامپزشكي ويژه دام هاي روستائي و عشايري بعنوان الگويي مناسب  و محور ساماندهي در ارايه كليه خدمات دامپزشكي اعم از بهداشتي، پيشگيري، تشخيصي و درماني در يك مركز و همچنين ارايه كليه اين خدمات در هر واحد اپيدميولوزيك و توسعه آن دراقصي نقاط كشور بويژه در مناطق كمتر برخوردار از خدمات دامپزشكي، با اولويت ايجاد و توسعه درمانگاه هاي دامپزشكي ويژه دام هاي روستائي وعشايري</t>
  </si>
  <si>
    <t>4-18-15-1</t>
  </si>
  <si>
    <t>4-18-15-2</t>
  </si>
  <si>
    <t>تکمیل و تجهیز زیرساخت های فیزیکی لازم برای ارائه خدمات پیشگیری، درمانی، تشخيصی بخش خصوصی در مناطق روستایی و عشایری</t>
  </si>
  <si>
    <t>4-18-15-3</t>
  </si>
  <si>
    <t>راهبرد 21-4:  توسعه ارتباطات و ارائه خدمات به ذینفعان با استفاده از فناوری های نوین هوشمند و مدیریت دانش اطلاعات</t>
  </si>
  <si>
    <t xml:space="preserve"> هدف کمی 16-21-4: استفاده از فناوری های نوین هوشمند از 29.6 در صد در سال پایه به 100 درصد در پایان برنامه
 افزایش تعداد کاربران سامانه های الکترونیکی سازمان از تعداد 10 سامانه در سال پایه به 16 سامانه در پایان برنامه</t>
  </si>
  <si>
    <t>1- سياستگذاري و برنامه ريزي به منظور تجهيز، پشتيباني و استفاده بهينه از سخت افزار و نرم افزار مورد نياز</t>
  </si>
  <si>
    <t xml:space="preserve"> 2- سياستگذاري و پيش بيني آموزش هاي لازم درخصوص فناوري اطلاعات و امنيت و افزايش مهارت هاي تخصصي مديران و كاركنان و تدوين و ابلاغ ضوابط و دستورالعمل هاي بهره برداري از تجهيزات انفورماتيكي</t>
  </si>
  <si>
    <t>3-  برنامه ريزي به منظور تجهيز، پشتيباني و استفاده بهينه از سخت افزار ونرم افزار مورد نياز و سازماندهي و به روزرساني سيستم هاي اتوماسيون اداري و ساير سيستم ها و يكپارچه سازي آنها ، اجراي طرح هاي تبديل و ارتقاء سيستم هاي رايانه اي و نرم افزار، طراحي، ايجاد و نگهداري جايگاه اينترنتي و اينترانتي سازمان دامپزشكي ومديريت رفع نواقص سيستم هاي موجود</t>
  </si>
  <si>
    <t>4- مطالعه سیاستگذاری، برنامه ریزی، نظارت و پیگیری برای استقرار سیستم اصولی و علمی جمع آوری، آنالیز و تحلیل آمارها وگزارش عملکرد</t>
  </si>
  <si>
    <t>5- سياستگذاري و اقدامات لازم در جهت استقرار سيستم هاي بدون كاغذ، در سازمان، ايجاد داشبرد مديريتي براي مديران ارشد سازمان به منظور دسترسي به آخرين وضعيت فعاليت هاي اصلي سازمان و ايجاد و توسعه سيستم مديريت دانش به منظور امكان تبادل اطلاعات كارشناسان سازمان</t>
  </si>
  <si>
    <t xml:space="preserve"> 6- برنامه ريزي عملياتي جهت پاسخگويي به نيازها براساس اولويت هاي سازمان </t>
  </si>
  <si>
    <t xml:space="preserve"> 7- 2. مدیریت بهره برداری از شبکه و سیستمهای اشتراک اطلاعات سازمان</t>
  </si>
  <si>
    <t>4-21-16-1</t>
  </si>
  <si>
    <t>تهيه و استقرار سامانه مدیریت دانش</t>
  </si>
  <si>
    <t>درصد پیشرفت</t>
  </si>
  <si>
    <t xml:space="preserve">100% تا پایان برنامه </t>
  </si>
  <si>
    <t>4-21-16-2</t>
  </si>
  <si>
    <t>تهيه و استقرار سامانه دریافت، پرسش، انتقاد، پیشنهاد و شکایت</t>
  </si>
  <si>
    <t>4-21-16-3</t>
  </si>
  <si>
    <t>توسعه و استقرار سامانه اموال و دارايي هاي ثابت</t>
  </si>
  <si>
    <t>4-21-16-4</t>
  </si>
  <si>
    <t>ایجاد و استقرار سامانه آموزش</t>
  </si>
  <si>
    <t>4-21-16-5</t>
  </si>
  <si>
    <t>تهيه و استقرار سامانه نظام پيشنهادات</t>
  </si>
  <si>
    <t>4-21-16-6</t>
  </si>
  <si>
    <t>تهيه و استقرار سيستمهاي نرم افزاري اداری و مالي</t>
  </si>
  <si>
    <t>4-21-16-7</t>
  </si>
  <si>
    <t>تهيه و استقرار سيستمهاي نرم افزاري امور رفاه پرسنلی</t>
  </si>
  <si>
    <t>4-21-16-8</t>
  </si>
  <si>
    <t>توسعه و استقرار سامانه پايش و مراقبت بيماريهاي دام</t>
  </si>
  <si>
    <t>4-21-16-9</t>
  </si>
  <si>
    <t>توسعه و استقرار سامانه پايش و مراقبت بيماريهاي طيور</t>
  </si>
  <si>
    <t>4-21-16-10</t>
  </si>
  <si>
    <t>تهيه و توسعه و استقرار سامانه پايش و مراقبت بيماريهاي آبزيان، زنبور عسل و كرم ابريشم</t>
  </si>
  <si>
    <t>4-21-16-11</t>
  </si>
  <si>
    <t>توسعه و استقرار سامانه يكپارچه قرنطينه</t>
  </si>
  <si>
    <t>4-21-16-12</t>
  </si>
  <si>
    <t xml:space="preserve">توسعه و استقرار سامانه رديابي و شناسايي دام </t>
  </si>
  <si>
    <t>4-21-16-13</t>
  </si>
  <si>
    <t>تهيه و توسعه و استقرار سامانه صدور مجوزها</t>
  </si>
  <si>
    <t>4-21-16-14</t>
  </si>
  <si>
    <t>تهيه و استقرار سامانه مديريت نظارت بهداشتي دام و فرآورده هاي دامي</t>
  </si>
  <si>
    <t>4-21-16-15</t>
  </si>
  <si>
    <t>توسعه و استقرار سامانه اتوماسيون اداري(ارجاع بين سازماني)</t>
  </si>
  <si>
    <t>4-21-16-16</t>
  </si>
  <si>
    <t xml:space="preserve">
تهيه و استقرار سامانه داشبورد ديجيتال مديريتي
</t>
  </si>
  <si>
    <t>4-21-16-17</t>
  </si>
  <si>
    <t xml:space="preserve">
توسعه و استقرار سامانه مقالات و پایان نامه های دامپزشکی
</t>
  </si>
  <si>
    <t>4-21-16-18</t>
  </si>
  <si>
    <t>توسعه و استقرار سامانه جامع اطلاعات دامپزشكي (VINFO)</t>
  </si>
  <si>
    <t>4-21-16-19</t>
  </si>
  <si>
    <t>توسعه و استقرار سامانه خدمات آماري</t>
  </si>
  <si>
    <t>4-21-16-20</t>
  </si>
  <si>
    <t>توسعه و استقرار سامانه مديريت اخبار(نماد)</t>
  </si>
  <si>
    <t>4-21-16-21</t>
  </si>
  <si>
    <t>مطالعه و تدوين و پياده سازي سیستم مدیریت امنیت اطلاعات (ISMS)</t>
  </si>
  <si>
    <t>4-21-16-22</t>
  </si>
  <si>
    <t xml:space="preserve">
مطالعه ، طراحي، پياده سازي Site Mirror
</t>
  </si>
  <si>
    <t>4-21-16-23</t>
  </si>
  <si>
    <t>توسعه و تكميل زير ساخت شبكه رايانه اي و ارتباطات</t>
  </si>
  <si>
    <t>4-21-16-24</t>
  </si>
  <si>
    <t>یکپارچه سازی سامانه های الکترونیکی</t>
  </si>
  <si>
    <t>4-21-16-25</t>
  </si>
  <si>
    <t xml:space="preserve">سامانه های الکترونیکی سازمان </t>
  </si>
  <si>
    <t>ارزیابی و کنترل شاخص های اختصاصی برنامه ششم توسعه سازمان دامپزشکی کشور</t>
  </si>
  <si>
    <t>• برش استانی اهداف کلی3:</t>
  </si>
  <si>
    <t>• برش استانی اهداف کلی4:</t>
  </si>
  <si>
    <t>• اهداف کمی (بر اساس هدف گذاری و بر اساس حجم عملیات )</t>
  </si>
  <si>
    <t>• برش استانی/ حجم عملیات/ اهداف/ سیاست های اجرایی/ شاخص هدف کمی 10: افزايش تعداد ناوگان اختصاصي و بهداشتي حمل و نقل</t>
  </si>
  <si>
    <t>• برش استانی هدف کلی 1:</t>
  </si>
  <si>
    <t>• برش استانی اهداف کلی 2:</t>
  </si>
  <si>
    <t>• برش استانی/ حجم عملیات/ اهداف/ سیاست های اجرایی/ شاخص هدف کمی 1: کاهش بروز بیماری های مشترک</t>
  </si>
  <si>
    <t>• برش استانی/ حجم عملیات/ اهداف/ سیاست های اجرایی/ شاخص هدف کمی 2: کاهش تلفات در گله های مرغ گوشتی و کاهش بروز بیماری ها در گله های صنعتی طیور</t>
  </si>
  <si>
    <t>• برش استانی/ حجم عملیات/ اهداف/ سیاست های اجرایی/ شاخص هدف کمی 3: کاهش بروز بیماری ها در مزارع پرورشی آبزیان و کاهش تلفات در مزارع پرورش آبزیان</t>
  </si>
  <si>
    <t>• برش استانی/ حجم عملیات/ اهداف/ سیاست های اجرایی/ شاخص هدف کمی 4: کاهش بروز بیماری در کلنی های زنبور عسل  و کاهش بروز بیماری در کرم ابریشم</t>
  </si>
  <si>
    <t>• برش استانی/ حجم عملیات/ اهداف/ سیاست های اجرایی/ شاخص هدف کمی 5: کاهش بروز بیماری های واگیر دام در واحدهای اپیدمیولوژیک</t>
  </si>
  <si>
    <t>• برش استانی/ حجم عملیات/ اهداف/ سیاست های اجرایی/ شاخص هدف کمی 11: افزايش تعداد واحدهاي داراي گواهي هاي استقرار سامانه هايGMP, HACCP و ..</t>
  </si>
  <si>
    <t>• برش استانی/ حجم عملیات/ اهداف/ سیاست های اجرایی/ شاخص هدف 12:  افزايش صدور کد IR و EC و …</t>
  </si>
  <si>
    <t xml:space="preserve">• برش استانی/ حجم عملیات/ اهداف/ سیاست های اجرایی/ شاخص هدف 13: افزايش تعداد واحدهاي داراي رتبه A </t>
  </si>
  <si>
    <t>• برش استانی/ حجم عملیات/ اهداف/ سیاست های اجرایی/ شاخص هدف کمی 15: افزایش تعداد شاغلین بخش غیر دولتی دامپزشکی در شهرستان ها و مناطق کمتر توسعه یافته، افزایش درمانگاه های دامپزشکی ویژه مناطق روستایی و عشایری</t>
  </si>
  <si>
    <t xml:space="preserve"> • برش استانی/ حجم عملیات/ سیاست های اجرایی/ شاخص هدف کمی 7:  افزایش سطح پایش و کنترل سموم (کلره، فسفره) و فلزات سنگین (سرب، کادمیوم، جیوه، آرسنیک)، باقیمانده های دارویی (آنتی بیوتیک ها، هورمون ها) ، آفلاتوکسین ها در فراورده های دامی (دام، طیور، آبزیان)</t>
  </si>
  <si>
    <t xml:space="preserve"> • برش استانی/ حجم عملیات/ سیاست های اجرایی/ شاخص هدف کمی 8: افزایش موارد ارزیابی خطرات فراورده های خام دامی و خوراک دام، دارو و فراورده هاي بيولوژيك، منابع ژنتيكي دام و موجودات تراريخته</t>
  </si>
  <si>
    <t>• برش استانی/ حجم عملیات/ سیاست های اجرایی/ شاخص هدف کمی 9: توسعه آزمایشگاه ها</t>
  </si>
  <si>
    <t xml:space="preserve">• برش استانی/ حجم عملیات/ سیاست های اجرایی/ شاخص هدف کمی 14: افزایش میزان دامداران دارای گواهی بهداشتی آموزشی/ افزایش میزان شاغلین دارای گواهی آموزش های بهداشتی صنایع </t>
  </si>
  <si>
    <t xml:space="preserve">• برش استانی/ حجم عملیات/ سیاست های اجرایی/ شاخص هدف کمی 16: استفاده از فناوری های نوین هوشمند و افزایش تعداد کاربران سامانه های الکترونیکی سازمان </t>
  </si>
  <si>
    <r>
      <rPr>
        <sz val="12"/>
        <color theme="3" tint="-0.499984740745262"/>
        <rFont val="B Mitra"/>
        <charset val="178"/>
      </rPr>
      <t xml:space="preserve"> •</t>
    </r>
    <r>
      <rPr>
        <i/>
        <sz val="12"/>
        <color theme="3" tint="-0.499984740745262"/>
        <rFont val="B Mitra"/>
        <charset val="178"/>
      </rPr>
      <t xml:space="preserve"> اهداف کلی</t>
    </r>
  </si>
  <si>
    <t xml:space="preserve"> ازمايش سل (توبركوليناسيون، قرائت)</t>
  </si>
  <si>
    <t xml:space="preserve"> ازمايش مشمشه (مالئيناسيون، قرائت))</t>
  </si>
  <si>
    <t xml:space="preserve">          سال پایه
Current situation</t>
  </si>
  <si>
    <t xml:space="preserve"> بازديد و نمونه برداري از ساير گله هاي 
طيور صنعتی ( اردك و ... )</t>
  </si>
  <si>
    <t xml:space="preserve"> قرنطینه کانون مشکوک و آلوده (شبانه روز)</t>
  </si>
  <si>
    <t xml:space="preserve"> استقرار قرنطينه سيار (شیفت)</t>
  </si>
  <si>
    <t>جدول 1: تعیین اهداف کلی در برنامه ششم توسعه سازمان دامپزشکی کشور</t>
  </si>
  <si>
    <t>استقرار سیستم زنجیره سرد توزيع توبرکولین، مالئین و آنتی ژن مورد نياز در محل روستا يا دامداري (هزار دز)</t>
  </si>
  <si>
    <t>بازديد و نمونه برداري از آب آكواريوم ها و استخرهای زينتی مهم کشور</t>
  </si>
  <si>
    <t>بازديد و نمونه بردازي از ماهيان ، لارو و بچه ماهي زينتی مهم کشور</t>
  </si>
  <si>
    <t xml:space="preserve"> انجام امور مربوط به بیمه آبزیان</t>
  </si>
  <si>
    <t xml:space="preserve"> انجام امور مربوط به بیمه </t>
  </si>
  <si>
    <t xml:space="preserve"> بازديد ميداني و نظارت بر عمليات سمپاشي دام</t>
  </si>
  <si>
    <t xml:space="preserve"> صدور/ تمدید مجوز اشتغال به حمل فراورده هاي خام دامي، دام زنده،  شناورهاي صيادي (سنگين )</t>
  </si>
  <si>
    <t xml:space="preserve"> صدور/ تمدید مجوز اشتغال به حمل فراورده هاي خام دامي،شناورهاي صيادي (سبك )</t>
  </si>
  <si>
    <t xml:space="preserve"> صدور/ تمدید مجوز اشتغال به حمل انواع دارو، فراورده هاي بيولوژيك و ... (سنگين )</t>
  </si>
  <si>
    <t xml:space="preserve"> صدور/ تمدید مجوز اشتغال به حمل انواع دارو، فراورده هاي بيولوژيك و ... (سبك )</t>
  </si>
  <si>
    <t>بررسي كارشناسي جهت تجديد/ تمديد گواهي ثبت دارو</t>
  </si>
  <si>
    <t xml:space="preserve"> پلمب واحد هاي غير بهداشتي و غير مجاز ( دارو ، سم ، مكمل ، ضدعفوني ، واكسن و .....) </t>
  </si>
  <si>
    <t xml:space="preserve"> فك پلمب واحد هاي غير بهداشتي و غير مجاز ( دارو ، سم ، مكمل ، ضدعفوني ، واكسن و .....)  </t>
  </si>
  <si>
    <t xml:space="preserve">تنظيم ، ارسال ، پيگيري و دريافت احكام قضايي ( دارو ، سم ، مكمل ، ضدعفوني ، واكسن و .....) </t>
  </si>
  <si>
    <t xml:space="preserve"> بازرسي بهداشتي بعد از کشتار دام سبك كشتارگاه صنعتي</t>
  </si>
  <si>
    <t xml:space="preserve"> بازرسي بهداشتي بعد از کشتار دام سبك كشتارگاه غيرصنعتي</t>
  </si>
  <si>
    <t xml:space="preserve"> بازرسي بهداشتي بعد از کشتار دام سنگين كشتارگاه صنعتي</t>
  </si>
  <si>
    <t xml:space="preserve"> بازرسي بهداشتي بعد از کشتار دام سنگين كشتارگاه سنتي</t>
  </si>
  <si>
    <t>بازرسي بهداشتي كشتارگاه طيور (تا  4000 هزار قطعه در ساعت)</t>
  </si>
  <si>
    <t>بازرسي بهداشتي كشتارگاه طيور (از  4000 هزار قطعه در ساعت به بالا)</t>
  </si>
  <si>
    <t xml:space="preserve"> بازديد و نظارت بهداشتي و يا نمونه برداري از كارگاه هاي سورت روده و لش گيري بالاي 2000 رشته در روز</t>
  </si>
  <si>
    <t xml:space="preserve"> بازديد ونظارت بهداشتي و يا نمونه برداري از كارگاه هاي سورت روده و لش گيري تا 2000 رشته در روز</t>
  </si>
  <si>
    <t xml:space="preserve"> بازديد ونظارت بهداشتي و يا نمونه برداري از كارخانجات توليد خوراك دام و كنسانتره چند محصولي ،كارخانجات توليد مواد اوليه جند محصولي</t>
  </si>
  <si>
    <t xml:space="preserve"> بازديد و نظارت بهداشتي و يا نمونه برداري از كارخانجات توليد خوراك دام و كنسانتره يك محصولي ،كارخانجات توليد مواد اوليه يك محصولي،كارخاجات تبديل ضايعات مستقل</t>
  </si>
  <si>
    <t xml:space="preserve"> بازديد و نظارت بهداشتي از ميادين عرضه دام</t>
  </si>
  <si>
    <t xml:space="preserve"> بازديد و نظارت بهداشتي ويا نمونه برداري از سردخانه مواد پروتئيني با ظرفيت 5000 تن به بالا</t>
  </si>
  <si>
    <t xml:space="preserve"> بازديد و نظارت بهداشتي و يا نمونه برداري از كشتارگاه طيور (تا  4000 هزار قطعه در ساعت)</t>
  </si>
  <si>
    <t xml:space="preserve"> بازديد و نظارت بهداشتي از كشتارگاه دام سنتي</t>
  </si>
  <si>
    <t xml:space="preserve"> بازديد و نظارت بهداشتي از كشتارگاه دام صنعتي با واحد بسته بندي گوشت و الايش</t>
  </si>
  <si>
    <t xml:space="preserve"> بازديد و نظارت بهداشتي از كشتارگاه دام صنعتي با واحد بسته بندي گوشت و الايش، تونل انجماد و تبديل ضايعات</t>
  </si>
  <si>
    <t xml:space="preserve"> بازديد و نظارت بهداشتي از كارخانجات فراورده هاي كوشتي </t>
  </si>
  <si>
    <t xml:space="preserve"> پلمب واحد هاي غير بهداشتي و غير مجاز صنایع وابسته به گوشت</t>
  </si>
  <si>
    <t xml:space="preserve"> فك پلمب واحد هاي غير بهداشتي و غير مجاز صنایع وابسته به گوشت </t>
  </si>
  <si>
    <t xml:space="preserve"> بازديد و نظارت بهداشتي و يا نمونه برداري ازسردخانه مواد پروتئيني تا ظرفيت  5000 تن</t>
  </si>
  <si>
    <t xml:space="preserve">تنظيم ، ارسال ، پيگيري و دريافت احكام قضايي ( فراورده ها و صنایع وابسته به گوشت ) </t>
  </si>
  <si>
    <t>استقرار سیستم حمل و نقل نمونه ها/ فراورده های خام دامی (نمونه)</t>
  </si>
  <si>
    <t>استقرار سیستم حمل و نقل نمونه ها/ دارو ، سم ، مكمل ، ضدعفوني ، واكسن و ... (نمونه)</t>
  </si>
  <si>
    <t>بازرسي از داروخانه هاي دامپزشكي و مراكز خرده فروشي واكسن در خصوص رعايت و اعمال ضوابط GDP و عرضه و فروش (دارو ، سم ، مكمل ، ضدعفوني ، واكسن و ...) و پيگيري رفع نواقص آن ها</t>
  </si>
  <si>
    <t>توسعه صدور پروانه اشتغال به حمل انواع دارو، فراورده هاي بيولوژيك و ... (سبک)</t>
  </si>
  <si>
    <t>توسعه صدور پروانه اشتغال به حمل انواع دارو، فراورده هاي بيولوژيك و ... (سنگين)</t>
  </si>
  <si>
    <t>توسعه صدور پروانه اشتغال به حمل شناورهاي صيادي (سنگين)</t>
  </si>
  <si>
    <t>توسعه صدور پروانه اشتغال به حمل شناورهاي صيادي (سبك)</t>
  </si>
  <si>
    <t>توسعه صدور پروانه اشتغال به حمل فراورده هاي خام دامي (سنگين)</t>
  </si>
  <si>
    <t>توسعه صدور پروانه اشتغال به حمل فراورده هاي خام دامي (سبک)</t>
  </si>
  <si>
    <t>11- برنامه ريزي و هماهنگي ترويج و انتقال آخرين يافته هاي بهداشتي ، قرنطينه اي و امنيت زيستي دامپزشكي به واحدهای تولیدی، توزیعی، عرضه و خدمات مرتبط با دامپزشکی</t>
  </si>
  <si>
    <t>12- برنامه ريزي و هماهنگي بمنظور آموزش و اطلاع رساني در امر بهداشت عمومي به واحدهای تولیدی، توزیعی، عرضه و خدمات مرتبط با دامپزشکی</t>
  </si>
  <si>
    <t>برگزاري آموزش های حضوري/ترويجي بهره وران نفر/ ساعت</t>
  </si>
  <si>
    <t xml:space="preserve"> برگزاری جلسات توجیهی ، سمینار / کارگاه آموزشی و ... نفر/ ساعت</t>
  </si>
  <si>
    <t>اخذ، ثبت، پردازش و تحليل گزارشات ماهیانه خدمات پیشگیری/ درمانی/ آزمایشگاهی</t>
  </si>
  <si>
    <t>16- افزايش برخورداري روستاهاي كوچك از خدمات بهداشتی / درمانی دام</t>
  </si>
  <si>
    <t>تهيه اخبار مراقبت وقایع مرتبط با سامانه صدور شناسایی و ردیابی دام و فراورده های خام دامی</t>
  </si>
  <si>
    <t xml:space="preserve"> وارد كردن داده ها و اطلاعات در سامانه یکپارچه قرنطینه </t>
  </si>
  <si>
    <t xml:space="preserve"> وارد كردن داده ها و اطلاعات در سامانه G.I.S </t>
  </si>
  <si>
    <t xml:space="preserve"> وارد كردن داده ها و اطلاعات در سامانه دارویی </t>
  </si>
  <si>
    <t xml:space="preserve"> وارد كردن داده ها و اطلاعات در سامانه نظارت بهداشتي دام و فرآورده هاي دامي </t>
  </si>
  <si>
    <t xml:space="preserve"> وارد كردن داده ها و اطلاعات در سامانه صدور مجوزها </t>
  </si>
  <si>
    <t>پردازش و تحليل اطلاعات و تنظيم و ثبت گزارش عملكرد بخش و گزارش گيري از سامانه صدور شناسایی و ردیابی دام و فراورده ها</t>
  </si>
  <si>
    <t>وارد كردن داده ها و اطلاعات در سامانه شناسایی و ردیابی دام و فراورده های خام دامی (Trace)</t>
  </si>
  <si>
    <t>کنترل و مراقبت بیماریهای باكتريايي ماهیان سردآبی (یرسینیوزیس و استرپتوکوکوزیس)</t>
  </si>
  <si>
    <t xml:space="preserve">  هدف کمی 7-6-2:
  افزایش سطح پایش و کنترل سموم (کلره، فسفره) و فلزات سنگین (سرب، کادمیوم، جیوه، آرسنیک) در فراورده های دامی (دام، طیور، آبزیان) و خوراک دام در حد مجاز تا پایان برنامه
   افزایش سطح پایش و کنترل باقیمانده های دارویی (آنتی بیوتیک ها، هورمون ها) در فراورده های دامی (دام، طیور، آبزیان) و خوراک دام در حد مجاز تا پایان برنامه
  افزایش سطح پایش و کنترل آفلاتوکسین ها در فراورده های دامی (دام، طیور، آبزیان) و خوراک دام در حد مجاز تا پایان برنامه</t>
  </si>
  <si>
    <t>تعداد راکتور</t>
  </si>
  <si>
    <t>تلفات (تعداد)</t>
  </si>
  <si>
    <t>تعداد آزمایشات در بخش دولتی</t>
  </si>
  <si>
    <t>تعداد نمونه های ارسالی به مرکز تشخیص</t>
  </si>
  <si>
    <t xml:space="preserve"> ازمايش مشمشه مالئيناسيون یا خونگیری از تک سمی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</si>
</sst>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3" formatCode="_(* #,##0.00_);_(* \(#,##0.00\);_(* &quot;-&quot;??_);_(@_)"/>
    <numFmt numFmtId="164" formatCode="&quot;ريال&quot;\ #,##0_-;&quot;ريال&quot;\ #,##0\-"/>
    <numFmt numFmtId="165" formatCode="_-* #,##0.00_-;_-* #,##0.00\-;_-* &quot;-&quot;??_-;_-@_-"/>
    <numFmt numFmtId="166" formatCode="#,##0;[Red]#,##0"/>
    <numFmt numFmtId="167" formatCode="#,##0.000;[Red]#,##0.000"/>
    <numFmt numFmtId="168" formatCode="&quot;Yes&quot;;&quot;Yes&quot;;&quot;No&quot;"/>
    <numFmt numFmtId="169" formatCode="#.00"/>
    <numFmt numFmtId="170" formatCode="#,##0.00;[Red]#,##0.00"/>
    <numFmt numFmtId="171" formatCode="_(* #,##0.000_);_(* \(#,##0.000\);_(* &quot;-&quot;??_);_(@_)"/>
    <numFmt numFmtId="172" formatCode="0;[Red]0"/>
    <numFmt numFmtId="173" formatCode="0.000"/>
    <numFmt numFmtId="174" formatCode="#,##0.0000;[Red]#,##0.0000"/>
    <numFmt numFmtId="175" formatCode="0.0"/>
    <numFmt numFmtId="176" formatCode="_(* #,##0_);_(* \(#,##0\);_(* &quot;-&quot;??_);_(@_)"/>
    <numFmt numFmtId="177" formatCode="0.000;[Red]0.000"/>
    <numFmt numFmtId="178" formatCode="#,##0.0000"/>
    <numFmt numFmtId="179" formatCode="#,##0.0;[Red]#,##0.0"/>
    <numFmt numFmtId="180" formatCode="#,##0.000"/>
  </numFmts>
  <fonts count="138">
    <font>
      <sz val="12"/>
      <color theme="1"/>
      <name val="B Mitra"/>
      <family val="2"/>
      <charset val="178"/>
    </font>
    <font>
      <sz val="12"/>
      <color theme="1"/>
      <name val="B Mitra"/>
      <family val="2"/>
      <charset val="178"/>
    </font>
    <font>
      <sz val="14"/>
      <color theme="1"/>
      <name val="B Mitra"/>
      <family val="2"/>
    </font>
    <font>
      <sz val="11"/>
      <color theme="1"/>
      <name val="Calibri"/>
      <family val="2"/>
      <scheme val="minor"/>
    </font>
    <font>
      <sz val="14"/>
      <name val="B Mitra"/>
      <charset val="178"/>
    </font>
    <font>
      <sz val="14"/>
      <color theme="1"/>
      <name val="B Mitra"/>
      <charset val="178"/>
    </font>
    <font>
      <sz val="12"/>
      <color theme="1"/>
      <name val="B Mitra"/>
      <family val="2"/>
    </font>
    <font>
      <i/>
      <sz val="14"/>
      <color rgb="FF7030A0"/>
      <name val="B Mitra"/>
      <charset val="178"/>
    </font>
    <font>
      <sz val="11"/>
      <color rgb="FF7030A0"/>
      <name val="Calibri"/>
      <family val="2"/>
      <scheme val="minor"/>
    </font>
    <font>
      <sz val="14"/>
      <color rgb="FF7030A0"/>
      <name val="B Mitra"/>
      <charset val="178"/>
    </font>
    <font>
      <sz val="12"/>
      <color rgb="FF7030A0"/>
      <name val="B Mitra"/>
      <family val="2"/>
    </font>
    <font>
      <i/>
      <sz val="12"/>
      <color rgb="FF002060"/>
      <name val="B Mitra"/>
      <charset val="178"/>
    </font>
    <font>
      <i/>
      <sz val="11"/>
      <color rgb="FF002060"/>
      <name val="B Mitra"/>
      <charset val="178"/>
    </font>
    <font>
      <sz val="10"/>
      <color indexed="8"/>
      <name val="Arial"/>
      <family val="2"/>
    </font>
    <font>
      <sz val="11"/>
      <color indexed="8"/>
      <name val="Arial"/>
      <family val="2"/>
    </font>
    <font>
      <sz val="11"/>
      <color indexed="8"/>
      <name val="Calibri"/>
      <family val="2"/>
    </font>
    <font>
      <sz val="11"/>
      <color indexed="9"/>
      <name val="Arial"/>
      <family val="2"/>
    </font>
    <font>
      <sz val="11"/>
      <color indexed="9"/>
      <name val="Calibri"/>
      <family val="2"/>
    </font>
    <font>
      <sz val="11"/>
      <color indexed="20"/>
      <name val="Arial"/>
      <family val="2"/>
    </font>
    <font>
      <sz val="11"/>
      <color indexed="20"/>
      <name val="Calibri"/>
      <family val="2"/>
    </font>
    <font>
      <b/>
      <sz val="11"/>
      <color indexed="52"/>
      <name val="Arial"/>
      <family val="2"/>
    </font>
    <font>
      <b/>
      <sz val="11"/>
      <color indexed="52"/>
      <name val="Calibri"/>
      <family val="2"/>
    </font>
    <font>
      <b/>
      <sz val="11"/>
      <color indexed="9"/>
      <name val="Arial"/>
      <family val="2"/>
    </font>
    <font>
      <b/>
      <sz val="11"/>
      <color indexed="9"/>
      <name val="Calibri"/>
      <family val="2"/>
    </font>
    <font>
      <sz val="10"/>
      <name val="Arial"/>
      <family val="2"/>
    </font>
    <font>
      <sz val="1"/>
      <color indexed="8"/>
      <name val="Courier"/>
      <family val="3"/>
      <charset val="178"/>
    </font>
    <font>
      <i/>
      <sz val="11"/>
      <color indexed="23"/>
      <name val="Arial"/>
      <family val="2"/>
    </font>
    <font>
      <i/>
      <sz val="11"/>
      <color indexed="23"/>
      <name val="Calibri"/>
      <family val="2"/>
    </font>
    <font>
      <i/>
      <sz val="1"/>
      <color indexed="8"/>
      <name val="Courier"/>
      <family val="3"/>
      <charset val="178"/>
    </font>
    <font>
      <sz val="11"/>
      <color indexed="17"/>
      <name val="Arial"/>
      <family val="2"/>
    </font>
    <font>
      <sz val="11"/>
      <color indexed="17"/>
      <name val="Calibri"/>
      <family val="2"/>
    </font>
    <font>
      <b/>
      <sz val="15"/>
      <color indexed="56"/>
      <name val="Arial"/>
      <family val="2"/>
    </font>
    <font>
      <b/>
      <sz val="15"/>
      <color indexed="56"/>
      <name val="Calibri"/>
      <family val="2"/>
    </font>
    <font>
      <b/>
      <sz val="13"/>
      <color indexed="56"/>
      <name val="Arial"/>
      <family val="2"/>
    </font>
    <font>
      <b/>
      <sz val="13"/>
      <color indexed="56"/>
      <name val="Calibri"/>
      <family val="2"/>
    </font>
    <font>
      <b/>
      <sz val="11"/>
      <color indexed="56"/>
      <name val="Arial"/>
      <family val="2"/>
    </font>
    <font>
      <b/>
      <sz val="11"/>
      <color indexed="56"/>
      <name val="Calibri"/>
      <family val="2"/>
    </font>
    <font>
      <b/>
      <sz val="1"/>
      <color indexed="8"/>
      <name val="Courier"/>
      <family val="3"/>
      <charset val="178"/>
    </font>
    <font>
      <u/>
      <sz val="11"/>
      <color theme="10"/>
      <name val="Arial"/>
      <family val="2"/>
      <charset val="178"/>
    </font>
    <font>
      <u/>
      <sz val="14"/>
      <color theme="10"/>
      <name val="B Mitra"/>
      <family val="2"/>
    </font>
    <font>
      <sz val="11"/>
      <color indexed="62"/>
      <name val="Arial"/>
      <family val="2"/>
    </font>
    <font>
      <sz val="11"/>
      <color indexed="62"/>
      <name val="Calibri"/>
      <family val="2"/>
    </font>
    <font>
      <sz val="11"/>
      <color indexed="52"/>
      <name val="Arial"/>
      <family val="2"/>
    </font>
    <font>
      <sz val="11"/>
      <color indexed="52"/>
      <name val="Calibri"/>
      <family val="2"/>
    </font>
    <font>
      <sz val="10"/>
      <name val="Arabic Transparent"/>
      <charset val="178"/>
    </font>
    <font>
      <sz val="11"/>
      <color indexed="60"/>
      <name val="Arial"/>
      <family val="2"/>
    </font>
    <font>
      <sz val="11"/>
      <color indexed="60"/>
      <name val="Calibri"/>
      <family val="2"/>
    </font>
    <font>
      <sz val="11"/>
      <color rgb="FF9C6500"/>
      <name val="Calibri"/>
      <family val="2"/>
      <charset val="178"/>
      <scheme val="minor"/>
    </font>
    <font>
      <sz val="12"/>
      <name val="Traffic"/>
      <charset val="178"/>
    </font>
    <font>
      <sz val="11"/>
      <color theme="1"/>
      <name val="Calibri"/>
      <family val="2"/>
      <charset val="178"/>
      <scheme val="minor"/>
    </font>
    <font>
      <sz val="10"/>
      <name val="Zar"/>
      <charset val="178"/>
    </font>
    <font>
      <b/>
      <sz val="11"/>
      <color indexed="63"/>
      <name val="Arial"/>
      <family val="2"/>
    </font>
    <font>
      <b/>
      <sz val="11"/>
      <color indexed="63"/>
      <name val="Calibri"/>
      <family val="2"/>
    </font>
    <font>
      <b/>
      <sz val="18"/>
      <color indexed="56"/>
      <name val="Times New Roman"/>
      <family val="2"/>
    </font>
    <font>
      <b/>
      <sz val="18"/>
      <color indexed="56"/>
      <name val="Cambria"/>
      <family val="2"/>
    </font>
    <font>
      <b/>
      <sz val="11"/>
      <color indexed="8"/>
      <name val="Arial"/>
      <family val="2"/>
    </font>
    <font>
      <b/>
      <sz val="11"/>
      <color indexed="8"/>
      <name val="Calibri"/>
      <family val="2"/>
    </font>
    <font>
      <sz val="11"/>
      <color indexed="10"/>
      <name val="Arial"/>
      <family val="2"/>
    </font>
    <font>
      <sz val="11"/>
      <color indexed="10"/>
      <name val="Calibri"/>
      <family val="2"/>
    </font>
    <font>
      <b/>
      <sz val="8"/>
      <name val="B Titr"/>
      <charset val="178"/>
    </font>
    <font>
      <sz val="18"/>
      <color rgb="FF0070C0"/>
      <name val="B Mitra"/>
      <charset val="178"/>
    </font>
    <font>
      <sz val="14"/>
      <color theme="0"/>
      <name val="B Mitra"/>
      <charset val="178"/>
    </font>
    <font>
      <sz val="14"/>
      <color rgb="FF002060"/>
      <name val="B Mitra"/>
      <charset val="178"/>
    </font>
    <font>
      <sz val="12"/>
      <color rgb="FF002060"/>
      <name val="B Mitra"/>
      <charset val="178"/>
    </font>
    <font>
      <sz val="12"/>
      <color theme="1"/>
      <name val="B Mitra"/>
      <charset val="178"/>
    </font>
    <font>
      <sz val="10"/>
      <color rgb="FF7030A0"/>
      <name val="B Mitra"/>
      <charset val="178"/>
    </font>
    <font>
      <i/>
      <sz val="22"/>
      <color rgb="FF7030A0"/>
      <name val="B Mitra"/>
      <charset val="178"/>
    </font>
    <font>
      <i/>
      <sz val="18"/>
      <color rgb="FF7030A0"/>
      <name val="B Mitra"/>
      <charset val="178"/>
    </font>
    <font>
      <i/>
      <sz val="12"/>
      <color rgb="FF7030A0"/>
      <name val="B Mitra"/>
      <charset val="178"/>
    </font>
    <font>
      <u/>
      <sz val="11"/>
      <color theme="10"/>
      <name val="Calibri"/>
      <family val="2"/>
    </font>
    <font>
      <sz val="12"/>
      <color theme="10"/>
      <name val="Calibri"/>
      <family val="2"/>
    </font>
    <font>
      <sz val="11"/>
      <color theme="10"/>
      <name val="Calibri"/>
      <family val="2"/>
    </font>
    <font>
      <i/>
      <sz val="10"/>
      <color rgb="FF7030A0"/>
      <name val="B Mitra"/>
      <charset val="178"/>
    </font>
    <font>
      <sz val="12"/>
      <color theme="0"/>
      <name val="B Mitra"/>
      <charset val="178"/>
    </font>
    <font>
      <sz val="12"/>
      <name val="B Mitra"/>
      <charset val="178"/>
    </font>
    <font>
      <sz val="8"/>
      <color theme="0"/>
      <name val="B Mitra"/>
      <charset val="178"/>
    </font>
    <font>
      <sz val="10"/>
      <color theme="0"/>
      <name val="B Mitra"/>
      <charset val="178"/>
    </font>
    <font>
      <sz val="10"/>
      <color theme="1"/>
      <name val="B Mitra"/>
      <family val="2"/>
    </font>
    <font>
      <sz val="20"/>
      <name val="B Mitra"/>
      <charset val="178"/>
    </font>
    <font>
      <sz val="20"/>
      <color theme="1"/>
      <name val="B Mitra"/>
      <charset val="178"/>
    </font>
    <font>
      <sz val="16"/>
      <color theme="1"/>
      <name val="B Mitra"/>
      <charset val="178"/>
    </font>
    <font>
      <sz val="20"/>
      <color theme="0"/>
      <name val="B Mitra"/>
      <charset val="178"/>
    </font>
    <font>
      <sz val="26"/>
      <color rgb="FF0070C0"/>
      <name val="B Mitra"/>
      <charset val="178"/>
    </font>
    <font>
      <sz val="18"/>
      <color theme="1"/>
      <name val="B Mitra"/>
      <charset val="178"/>
    </font>
    <font>
      <b/>
      <i/>
      <sz val="16"/>
      <color rgb="FF0070C0"/>
      <name val="B Mitra"/>
      <charset val="178"/>
    </font>
    <font>
      <sz val="16"/>
      <color theme="0"/>
      <name val="B Mitra"/>
      <charset val="178"/>
    </font>
    <font>
      <b/>
      <i/>
      <sz val="14"/>
      <color rgb="FF0070C0"/>
      <name val="B Mitra"/>
      <charset val="178"/>
    </font>
    <font>
      <sz val="20"/>
      <color rgb="FF002060"/>
      <name val="B Mitra"/>
      <charset val="178"/>
    </font>
    <font>
      <sz val="10"/>
      <color theme="1"/>
      <name val="B Mitra"/>
      <charset val="178"/>
    </font>
    <font>
      <sz val="20"/>
      <color rgb="FFFF0000"/>
      <name val="B Mitra"/>
      <charset val="178"/>
    </font>
    <font>
      <sz val="12"/>
      <color rgb="FFFF0000"/>
      <name val="B Mitra"/>
      <charset val="178"/>
    </font>
    <font>
      <b/>
      <i/>
      <sz val="14"/>
      <color theme="0"/>
      <name val="B Mitra"/>
      <charset val="178"/>
    </font>
    <font>
      <sz val="12"/>
      <color theme="0"/>
      <name val="B Mitra"/>
      <family val="2"/>
    </font>
    <font>
      <sz val="8"/>
      <color rgb="FF002060"/>
      <name val="B Mitra"/>
      <charset val="178"/>
    </font>
    <font>
      <sz val="10"/>
      <color theme="0"/>
      <name val="B Mitra"/>
      <family val="2"/>
    </font>
    <font>
      <sz val="10"/>
      <name val="B Mitra"/>
      <family val="2"/>
    </font>
    <font>
      <b/>
      <i/>
      <sz val="18"/>
      <color theme="0"/>
      <name val="B Mitra"/>
      <charset val="178"/>
    </font>
    <font>
      <b/>
      <i/>
      <sz val="10"/>
      <color theme="0"/>
      <name val="B Mitra"/>
      <charset val="178"/>
    </font>
    <font>
      <sz val="10"/>
      <name val="B Mitra"/>
      <charset val="178"/>
    </font>
    <font>
      <sz val="8"/>
      <name val="B Mitra"/>
      <charset val="178"/>
    </font>
    <font>
      <sz val="18"/>
      <color indexed="81"/>
      <name val="B Mitra"/>
      <charset val="178"/>
    </font>
    <font>
      <sz val="10"/>
      <color rgb="FF002060"/>
      <name val="B Mitra"/>
      <charset val="178"/>
    </font>
    <font>
      <sz val="14"/>
      <color rgb="FF0070C0"/>
      <name val="B Mitra"/>
      <charset val="178"/>
    </font>
    <font>
      <sz val="18"/>
      <color rgb="FF000000"/>
      <name val="B Mitra"/>
      <charset val="178"/>
    </font>
    <font>
      <sz val="16"/>
      <color rgb="FF000000"/>
      <name val="B Mitra"/>
      <charset val="178"/>
    </font>
    <font>
      <sz val="14"/>
      <color rgb="FF000000"/>
      <name val="B Mitra"/>
      <charset val="178"/>
    </font>
    <font>
      <sz val="10"/>
      <color theme="1"/>
      <name val="Calibri"/>
      <family val="2"/>
      <scheme val="minor"/>
    </font>
    <font>
      <sz val="12"/>
      <color theme="10"/>
      <name val="B Mitra"/>
      <charset val="178"/>
    </font>
    <font>
      <sz val="11"/>
      <color theme="1"/>
      <name val="B Mitra"/>
      <charset val="178"/>
    </font>
    <font>
      <sz val="16"/>
      <color theme="1"/>
      <name val="Calibri"/>
      <family val="2"/>
      <scheme val="minor"/>
    </font>
    <font>
      <b/>
      <i/>
      <sz val="20"/>
      <color theme="3" tint="-0.249977111117893"/>
      <name val="B Mitra"/>
      <charset val="178"/>
    </font>
    <font>
      <b/>
      <sz val="20"/>
      <color theme="1"/>
      <name val="B Mitra"/>
      <charset val="178"/>
    </font>
    <font>
      <sz val="12"/>
      <color rgb="FF002060"/>
      <name val="Calibri"/>
      <family val="2"/>
    </font>
    <font>
      <i/>
      <sz val="14"/>
      <color rgb="FF002060"/>
      <name val="B Mitra"/>
      <charset val="178"/>
    </font>
    <font>
      <b/>
      <i/>
      <sz val="20"/>
      <color theme="4" tint="-0.249977111117893"/>
      <name val="B Mitra"/>
      <charset val="178"/>
    </font>
    <font>
      <sz val="14"/>
      <color theme="0"/>
      <name val="B Mitra"/>
      <family val="2"/>
    </font>
    <font>
      <sz val="12"/>
      <color theme="1"/>
      <name val="Calibri"/>
      <family val="2"/>
      <scheme val="minor"/>
    </font>
    <font>
      <sz val="10"/>
      <color indexed="8"/>
      <name val="B Mitra"/>
      <charset val="178"/>
    </font>
    <font>
      <sz val="16"/>
      <color rgb="FF002060"/>
      <name val="B Mitra"/>
      <charset val="178"/>
    </font>
    <font>
      <b/>
      <i/>
      <sz val="16"/>
      <color theme="3" tint="-0.249977111117893"/>
      <name val="B Mitra"/>
      <charset val="178"/>
    </font>
    <font>
      <b/>
      <i/>
      <sz val="18"/>
      <color theme="3" tint="-0.249977111117893"/>
      <name val="B Mitra"/>
      <charset val="178"/>
    </font>
    <font>
      <b/>
      <i/>
      <sz val="14"/>
      <color rgb="FFC00000"/>
      <name val="B Mitra"/>
      <charset val="178"/>
    </font>
    <font>
      <b/>
      <i/>
      <sz val="12"/>
      <color indexed="17"/>
      <name val="B Esfehan"/>
      <charset val="178"/>
    </font>
    <font>
      <b/>
      <sz val="12"/>
      <color indexed="17"/>
      <name val="B Esfehan"/>
      <charset val="178"/>
    </font>
    <font>
      <i/>
      <sz val="22"/>
      <color rgb="FF0070C0"/>
      <name val="B Mitra"/>
      <charset val="178"/>
    </font>
    <font>
      <i/>
      <sz val="20"/>
      <color rgb="FF0070C0"/>
      <name val="B Mitra"/>
      <charset val="178"/>
    </font>
    <font>
      <sz val="10"/>
      <color theme="3" tint="-0.499984740745262"/>
      <name val="Calibri"/>
      <family val="2"/>
    </font>
    <font>
      <i/>
      <sz val="10"/>
      <color rgb="FF002060"/>
      <name val="B Mitra"/>
      <charset val="178"/>
    </font>
    <font>
      <sz val="10"/>
      <color rgb="FF002060"/>
      <name val="Calibri"/>
      <family val="2"/>
    </font>
    <font>
      <i/>
      <sz val="12"/>
      <color theme="3" tint="-0.499984740745262"/>
      <name val="B Mitra"/>
      <charset val="178"/>
    </font>
    <font>
      <sz val="12"/>
      <color theme="3" tint="-0.499984740745262"/>
      <name val="B Mitra"/>
      <charset val="178"/>
    </font>
    <font>
      <i/>
      <sz val="18"/>
      <color rgb="FF0070C0"/>
      <name val="B Mitra"/>
      <charset val="178"/>
    </font>
    <font>
      <i/>
      <sz val="14"/>
      <color rgb="FF0070C0"/>
      <name val="B Mitra"/>
      <charset val="178"/>
    </font>
    <font>
      <i/>
      <sz val="16"/>
      <color rgb="FF0070C0"/>
      <name val="B Mitra"/>
      <charset val="178"/>
    </font>
    <font>
      <i/>
      <sz val="12"/>
      <color rgb="FF0070C0"/>
      <name val="B Mitra"/>
      <charset val="178"/>
    </font>
    <font>
      <b/>
      <i/>
      <sz val="12"/>
      <color theme="3" tint="-0.249977111117893"/>
      <name val="B Mitra"/>
      <charset val="178"/>
    </font>
    <font>
      <sz val="14"/>
      <color rgb="FFFF0000"/>
      <name val="B Mitra"/>
      <charset val="178"/>
    </font>
    <font>
      <b/>
      <sz val="9"/>
      <color indexed="81"/>
      <name val="Tahoma"/>
    </font>
  </fonts>
  <fills count="61">
    <fill>
      <patternFill patternType="none"/>
    </fill>
    <fill>
      <patternFill patternType="gray125"/>
    </fill>
    <fill>
      <patternFill patternType="solid">
        <fgColor rgb="FFFFEB9C"/>
      </patternFill>
    </fill>
    <fill>
      <gradientFill degree="45">
        <stop position="0">
          <color theme="6" tint="0.40000610370189521"/>
        </stop>
        <stop position="0.5">
          <color rgb="FFFFFFC4"/>
        </stop>
        <stop position="1">
          <color theme="6" tint="0.40000610370189521"/>
        </stop>
      </gradientFill>
    </fill>
    <fill>
      <gradientFill degree="45">
        <stop position="0">
          <color theme="7" tint="0.80001220740379042"/>
        </stop>
        <stop position="0.5">
          <color rgb="FFFFFFC4"/>
        </stop>
        <stop position="1">
          <color theme="7" tint="0.80001220740379042"/>
        </stop>
      </gradientFill>
    </fill>
    <fill>
      <gradientFill degree="90">
        <stop position="0">
          <color theme="6" tint="0.80001220740379042"/>
        </stop>
        <stop position="0.5">
          <color theme="6" tint="0.80001220740379042"/>
        </stop>
        <stop position="1">
          <color theme="6" tint="0.80001220740379042"/>
        </stop>
      </gradient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gradientFill degree="45">
        <stop position="0">
          <color theme="6" tint="0.40000610370189521"/>
        </stop>
        <stop position="0.5">
          <color theme="8" tint="0.80001220740379042"/>
        </stop>
        <stop position="1">
          <color theme="6" tint="0.40000610370189521"/>
        </stop>
      </gradientFill>
    </fill>
    <fill>
      <gradientFill degree="90">
        <stop position="0">
          <color theme="6" tint="0.59999389629810485"/>
        </stop>
        <stop position="0.5">
          <color theme="6" tint="0.80001220740379042"/>
        </stop>
        <stop position="1">
          <color theme="6" tint="0.59999389629810485"/>
        </stop>
      </gradientFill>
    </fill>
    <fill>
      <patternFill patternType="solid">
        <fgColor theme="0"/>
        <bgColor indexed="64"/>
      </patternFill>
    </fill>
    <fill>
      <gradientFill degree="45">
        <stop position="0">
          <color theme="6" tint="0.40000610370189521"/>
        </stop>
        <stop position="0.5">
          <color theme="6" tint="0.80001220740379042"/>
        </stop>
        <stop position="1">
          <color theme="6" tint="0.40000610370189521"/>
        </stop>
      </gradientFill>
    </fill>
    <fill>
      <gradientFill degree="90">
        <stop position="0">
          <color theme="8" tint="0.59999389629810485"/>
        </stop>
        <stop position="1">
          <color rgb="FFEEF1C8"/>
        </stop>
      </gradientFill>
    </fill>
    <fill>
      <patternFill patternType="solid">
        <fgColor theme="0"/>
        <bgColor auto="1"/>
      </patternFill>
    </fill>
    <fill>
      <gradientFill degree="270">
        <stop position="0">
          <color theme="6" tint="0.40000610370189521"/>
        </stop>
        <stop position="1">
          <color rgb="FFF0FFCF"/>
        </stop>
      </gradientFill>
    </fill>
    <fill>
      <gradientFill>
        <stop position="0">
          <color theme="6" tint="0.40000610370189521"/>
        </stop>
        <stop position="1">
          <color rgb="FFEEF1C8"/>
        </stop>
      </gradientFill>
    </fill>
    <fill>
      <gradientFill degree="180">
        <stop position="0">
          <color theme="8" tint="0.40000610370189521"/>
        </stop>
        <stop position="1">
          <color rgb="FFEEF1C8"/>
        </stop>
      </gradientFill>
    </fill>
    <fill>
      <gradientFill degree="180">
        <stop position="0">
          <color theme="6" tint="0.40000610370189521"/>
        </stop>
        <stop position="1">
          <color rgb="FFFFFFD2"/>
        </stop>
      </gradientFill>
    </fill>
    <fill>
      <gradientFill degree="90">
        <stop position="0">
          <color theme="6" tint="0.40000610370189521"/>
        </stop>
        <stop position="1">
          <color rgb="FFF0FFCF"/>
        </stop>
      </gradientFill>
    </fill>
    <fill>
      <gradientFill degree="45">
        <stop position="0">
          <color theme="8" tint="0.59999389629810485"/>
        </stop>
        <stop position="0.5">
          <color rgb="FFEEF1C8"/>
        </stop>
        <stop position="1">
          <color theme="8" tint="0.59999389629810485"/>
        </stop>
      </gradientFill>
    </fill>
    <fill>
      <gradientFill degree="45">
        <stop position="0">
          <color theme="0"/>
        </stop>
        <stop position="0.5">
          <color theme="0"/>
        </stop>
        <stop position="1">
          <color theme="0"/>
        </stop>
      </gradientFill>
    </fill>
    <fill>
      <gradientFill degree="90">
        <stop position="0">
          <color theme="0"/>
        </stop>
        <stop position="0.5">
          <color theme="6" tint="0.80001220740379042"/>
        </stop>
        <stop position="1">
          <color theme="0"/>
        </stop>
      </gradientFill>
    </fill>
    <fill>
      <gradientFill degree="45">
        <stop position="0">
          <color theme="9" tint="0.40000610370189521"/>
        </stop>
        <stop position="0.5">
          <color rgb="FFFFFFC8"/>
        </stop>
        <stop position="1">
          <color theme="9" tint="0.40000610370189521"/>
        </stop>
      </gradientFill>
    </fill>
    <fill>
      <gradientFill degree="45">
        <stop position="0">
          <color theme="9" tint="0.40000610370189521"/>
        </stop>
        <stop position="0.5">
          <color rgb="FFEEF1C8"/>
        </stop>
        <stop position="1">
          <color theme="9" tint="0.40000610370189521"/>
        </stop>
      </gradientFill>
    </fill>
    <fill>
      <gradientFill degree="45">
        <stop position="0">
          <color theme="6" tint="0.59999389629810485"/>
        </stop>
        <stop position="0.5">
          <color rgb="FFFFF0C1"/>
        </stop>
        <stop position="1">
          <color theme="6" tint="0.59999389629810485"/>
        </stop>
      </gradientFill>
    </fill>
    <fill>
      <gradientFill degree="45">
        <stop position="0">
          <color rgb="FF92D050"/>
        </stop>
        <stop position="0.5">
          <color rgb="FFEEF1C8"/>
        </stop>
        <stop position="1">
          <color rgb="FF92D050"/>
        </stop>
      </gradientFill>
    </fill>
    <fill>
      <gradientFill degree="45">
        <stop position="0">
          <color theme="6" tint="0.59999389629810485"/>
        </stop>
        <stop position="0.5">
          <color rgb="FFFFFFD2"/>
        </stop>
        <stop position="1">
          <color theme="6" tint="0.59999389629810485"/>
        </stop>
      </gradientFill>
    </fill>
    <fill>
      <gradientFill degree="270">
        <stop position="0">
          <color rgb="FFD9D4C7"/>
        </stop>
        <stop position="1">
          <color rgb="FFFFF0C1"/>
        </stop>
      </gradientFill>
    </fill>
    <fill>
      <gradientFill degree="45">
        <stop position="0">
          <color theme="8" tint="0.59999389629810485"/>
        </stop>
        <stop position="0.5">
          <color theme="2"/>
        </stop>
        <stop position="1">
          <color theme="8" tint="0.59999389629810485"/>
        </stop>
      </gradientFill>
    </fill>
    <fill>
      <gradientFill degree="45">
        <stop position="0">
          <color theme="8" tint="0.80001220740379042"/>
        </stop>
        <stop position="0.5">
          <color theme="2"/>
        </stop>
        <stop position="1">
          <color theme="8" tint="0.80001220740379042"/>
        </stop>
      </gradientFill>
    </fill>
    <fill>
      <gradientFill degree="45">
        <stop position="0">
          <color theme="9" tint="0.80001220740379042"/>
        </stop>
        <stop position="0.5">
          <color theme="4" tint="0.80001220740379042"/>
        </stop>
        <stop position="1">
          <color theme="9" tint="0.80001220740379042"/>
        </stop>
      </gradientFill>
    </fill>
    <fill>
      <gradientFill degree="270">
        <stop position="0">
          <color theme="8" tint="0.59999389629810485"/>
        </stop>
        <stop position="1">
          <color rgb="FFFFF0C1"/>
        </stop>
      </gradientFill>
    </fill>
    <fill>
      <gradientFill degree="45">
        <stop position="0">
          <color theme="9" tint="0.59999389629810485"/>
        </stop>
        <stop position="0.5">
          <color rgb="FFFFF0C1"/>
        </stop>
        <stop position="1">
          <color theme="9" tint="0.59999389629810485"/>
        </stop>
      </gradientFill>
    </fill>
    <fill>
      <gradientFill>
        <stop position="0">
          <color rgb="FFC0E6FF"/>
        </stop>
        <stop position="1">
          <color rgb="FFFFFF9A"/>
        </stop>
      </gradientFill>
    </fill>
    <fill>
      <gradientFill>
        <stop position="0">
          <color theme="8" tint="0.59999389629810485"/>
        </stop>
        <stop position="1">
          <color rgb="FFFFF0C1"/>
        </stop>
      </gradientFill>
    </fill>
    <fill>
      <gradientFill degree="180">
        <stop position="0">
          <color theme="8" tint="0.59999389629810485"/>
        </stop>
        <stop position="1">
          <color rgb="FFFFF0C1"/>
        </stop>
      </gradientFill>
    </fill>
    <fill>
      <gradientFill degree="90">
        <stop position="0">
          <color theme="8" tint="0.59999389629810485"/>
        </stop>
        <stop position="1">
          <color rgb="FFFFF0C1"/>
        </stop>
      </gradientFill>
    </fill>
    <fill>
      <gradientFill degree="45">
        <stop position="0">
          <color theme="9" tint="0.59999389629810485"/>
        </stop>
        <stop position="0.5">
          <color rgb="FFFFFFD2"/>
        </stop>
        <stop position="1">
          <color theme="9" tint="0.59999389629810485"/>
        </stop>
      </gradientFill>
    </fill>
    <fill>
      <gradientFill degree="45">
        <stop position="0">
          <color theme="8" tint="0.59999389629810485"/>
        </stop>
        <stop position="0.5">
          <color rgb="FFFFF0C1"/>
        </stop>
        <stop position="1">
          <color theme="8" tint="0.59999389629810485"/>
        </stop>
      </gradientFill>
    </fill>
    <fill>
      <gradientFill degree="270">
        <stop position="0">
          <color theme="8" tint="0.59999389629810485"/>
        </stop>
        <stop position="1">
          <color theme="2"/>
        </stop>
      </gradientFill>
    </fill>
    <fill>
      <gradientFill degree="90">
        <stop position="0">
          <color theme="6" tint="0.80001220740379042"/>
        </stop>
        <stop position="1">
          <color theme="6" tint="0.80001220740379042"/>
        </stop>
      </gradientFill>
    </fill>
  </fills>
  <borders count="8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right style="thin">
        <color theme="9" tint="-0.249977111117893"/>
      </right>
      <top/>
      <bottom/>
      <diagonal/>
    </border>
    <border>
      <left style="thin">
        <color theme="9" tint="-0.249977111117893"/>
      </left>
      <right style="thin">
        <color theme="9" tint="-0.249977111117893"/>
      </right>
      <top style="thin">
        <color theme="9" tint="-0.249977111117893"/>
      </top>
      <bottom/>
      <diagonal/>
    </border>
    <border>
      <left style="thin">
        <color theme="9" tint="-0.249977111117893"/>
      </left>
      <right/>
      <top/>
      <bottom/>
      <diagonal/>
    </border>
    <border>
      <left style="thin">
        <color theme="9" tint="-0.249977111117893"/>
      </left>
      <right style="thin">
        <color theme="9" tint="-0.249977111117893"/>
      </right>
      <top/>
      <bottom/>
      <diagonal/>
    </border>
    <border>
      <left style="thin">
        <color theme="9" tint="-0.249977111117893"/>
      </left>
      <right style="thin">
        <color theme="9" tint="-0.249977111117893"/>
      </right>
      <top/>
      <bottom style="thin">
        <color theme="9" tint="-0.249977111117893"/>
      </bottom>
      <diagonal/>
    </border>
    <border>
      <left/>
      <right/>
      <top style="slantDashDot">
        <color rgb="FF0070C0"/>
      </top>
      <bottom/>
      <diagonal/>
    </border>
    <border>
      <left style="slantDashDot">
        <color rgb="FF0070C0"/>
      </left>
      <right/>
      <top/>
      <bottom/>
      <diagonal/>
    </border>
    <border>
      <left/>
      <right style="slantDashDot">
        <color rgb="FF0070C0"/>
      </right>
      <top/>
      <bottom/>
      <diagonal/>
    </border>
    <border>
      <left style="slantDashDot">
        <color rgb="FF0070C0"/>
      </left>
      <right/>
      <top style="slantDashDot">
        <color rgb="FF0070C0"/>
      </top>
      <bottom/>
      <diagonal/>
    </border>
    <border>
      <left/>
      <right style="slantDashDot">
        <color rgb="FF0070C0"/>
      </right>
      <top style="slantDashDot">
        <color rgb="FF0070C0"/>
      </top>
      <bottom/>
      <diagonal/>
    </border>
    <border>
      <left style="slantDashDot">
        <color rgb="FF0070C0"/>
      </left>
      <right/>
      <top/>
      <bottom style="slantDashDot">
        <color rgb="FF0070C0"/>
      </bottom>
      <diagonal/>
    </border>
    <border>
      <left/>
      <right style="slantDashDot">
        <color rgb="FF0070C0"/>
      </right>
      <top/>
      <bottom style="slantDashDot">
        <color rgb="FF0070C0"/>
      </bottom>
      <diagonal/>
    </border>
    <border>
      <left/>
      <right/>
      <top/>
      <bottom style="slantDashDot">
        <color rgb="FF0070C0"/>
      </bottom>
      <diagonal/>
    </border>
    <border>
      <left style="double">
        <color rgb="FFC00000"/>
      </left>
      <right/>
      <top style="double">
        <color rgb="FFC00000"/>
      </top>
      <bottom style="double">
        <color rgb="FFC00000"/>
      </bottom>
      <diagonal/>
    </border>
    <border>
      <left style="double">
        <color theme="9" tint="-0.249977111117893"/>
      </left>
      <right/>
      <top/>
      <bottom style="double">
        <color theme="9" tint="-0.249977111117893"/>
      </bottom>
      <diagonal/>
    </border>
    <border>
      <left style="double">
        <color theme="9" tint="-0.249977111117893"/>
      </left>
      <right/>
      <top style="double">
        <color theme="9" tint="-0.249977111117893"/>
      </top>
      <bottom style="double">
        <color theme="9" tint="-0.249977111117893"/>
      </bottom>
      <diagonal/>
    </border>
    <border>
      <left style="double">
        <color theme="9" tint="-0.249977111117893"/>
      </left>
      <right/>
      <top style="double">
        <color theme="9" tint="-0.249977111117893"/>
      </top>
      <bottom/>
      <diagonal/>
    </border>
    <border>
      <left/>
      <right style="double">
        <color theme="9" tint="-0.249977111117893"/>
      </right>
      <top/>
      <bottom/>
      <diagonal/>
    </border>
    <border>
      <left style="double">
        <color rgb="FFC00000"/>
      </left>
      <right/>
      <top style="double">
        <color rgb="FFC00000"/>
      </top>
      <bottom/>
      <diagonal/>
    </border>
    <border>
      <left/>
      <right/>
      <top style="double">
        <color rgb="FFC00000"/>
      </top>
      <bottom/>
      <diagonal/>
    </border>
    <border>
      <left/>
      <right style="double">
        <color rgb="FFC00000"/>
      </right>
      <top style="double">
        <color rgb="FFC00000"/>
      </top>
      <bottom/>
      <diagonal/>
    </border>
    <border>
      <left style="double">
        <color rgb="FFC00000"/>
      </left>
      <right/>
      <top/>
      <bottom/>
      <diagonal/>
    </border>
    <border>
      <left/>
      <right style="double">
        <color rgb="FFC00000"/>
      </right>
      <top/>
      <bottom/>
      <diagonal/>
    </border>
    <border>
      <left style="dashDot">
        <color rgb="FF0070C0"/>
      </left>
      <right style="dashDot">
        <color rgb="FF0070C0"/>
      </right>
      <top style="dashDot">
        <color rgb="FF0070C0"/>
      </top>
      <bottom style="dashDot">
        <color rgb="FF0070C0"/>
      </bottom>
      <diagonal/>
    </border>
    <border>
      <left style="dashDot">
        <color rgb="FF0070C0"/>
      </left>
      <right/>
      <top style="dashDot">
        <color rgb="FF0070C0"/>
      </top>
      <bottom style="dashDot">
        <color rgb="FF0070C0"/>
      </bottom>
      <diagonal/>
    </border>
    <border>
      <left/>
      <right/>
      <top style="dashDot">
        <color rgb="FF0070C0"/>
      </top>
      <bottom style="dashDot">
        <color rgb="FF0070C0"/>
      </bottom>
      <diagonal/>
    </border>
    <border>
      <left/>
      <right style="dashDot">
        <color rgb="FF0070C0"/>
      </right>
      <top style="dashDot">
        <color rgb="FF0070C0"/>
      </top>
      <bottom style="dashDot">
        <color rgb="FF0070C0"/>
      </bottom>
      <diagonal/>
    </border>
    <border>
      <left style="dashDot">
        <color rgb="FF0070C0"/>
      </left>
      <right style="dashDot">
        <color rgb="FF0070C0"/>
      </right>
      <top/>
      <bottom style="dashDot">
        <color rgb="FF0070C0"/>
      </bottom>
      <diagonal/>
    </border>
    <border>
      <left/>
      <right/>
      <top style="dashDot">
        <color rgb="FF0070C0"/>
      </top>
      <bottom/>
      <diagonal/>
    </border>
    <border>
      <left style="dashDot">
        <color rgb="FF0070C0"/>
      </left>
      <right style="dashDot">
        <color rgb="FF0070C0"/>
      </right>
      <top style="dashDot">
        <color rgb="FF0070C0"/>
      </top>
      <bottom/>
      <diagonal/>
    </border>
    <border>
      <left style="dashDot">
        <color rgb="FF0070C0"/>
      </left>
      <right/>
      <top style="dashDot">
        <color rgb="FF0070C0"/>
      </top>
      <bottom/>
      <diagonal/>
    </border>
    <border>
      <left/>
      <right style="dashDot">
        <color rgb="FF0070C0"/>
      </right>
      <top style="dashDot">
        <color rgb="FF0070C0"/>
      </top>
      <bottom/>
      <diagonal/>
    </border>
    <border>
      <left style="dashDot">
        <color rgb="FF0070C0"/>
      </left>
      <right/>
      <top/>
      <bottom/>
      <diagonal/>
    </border>
    <border>
      <left/>
      <right style="dashDot">
        <color rgb="FF0070C0"/>
      </right>
      <top/>
      <bottom/>
      <diagonal/>
    </border>
    <border>
      <left style="dashDot">
        <color rgb="FF0070C0"/>
      </left>
      <right/>
      <top/>
      <bottom style="dashDot">
        <color rgb="FF0070C0"/>
      </bottom>
      <diagonal/>
    </border>
    <border>
      <left/>
      <right/>
      <top/>
      <bottom style="dashDot">
        <color rgb="FF0070C0"/>
      </bottom>
      <diagonal/>
    </border>
    <border>
      <left/>
      <right style="dashDot">
        <color rgb="FF0070C0"/>
      </right>
      <top/>
      <bottom style="dashDot">
        <color rgb="FF0070C0"/>
      </bottom>
      <diagonal/>
    </border>
    <border>
      <left style="thin">
        <color rgb="FF0070C0"/>
      </left>
      <right style="dashDot">
        <color rgb="FF0070C0"/>
      </right>
      <top style="thin">
        <color rgb="FF0070C0"/>
      </top>
      <bottom style="dashDot">
        <color rgb="FF0070C0"/>
      </bottom>
      <diagonal/>
    </border>
    <border>
      <left style="dashDot">
        <color rgb="FF0070C0"/>
      </left>
      <right style="dashDot">
        <color rgb="FF0070C0"/>
      </right>
      <top style="thin">
        <color rgb="FF0070C0"/>
      </top>
      <bottom style="dashDot">
        <color rgb="FF0070C0"/>
      </bottom>
      <diagonal/>
    </border>
    <border>
      <left style="dashDot">
        <color rgb="FF0070C0"/>
      </left>
      <right style="thin">
        <color rgb="FF0070C0"/>
      </right>
      <top style="thin">
        <color rgb="FF0070C0"/>
      </top>
      <bottom style="dashDot">
        <color rgb="FF0070C0"/>
      </bottom>
      <diagonal/>
    </border>
    <border>
      <left style="thin">
        <color rgb="FF0070C0"/>
      </left>
      <right/>
      <top style="dashDot">
        <color rgb="FF0070C0"/>
      </top>
      <bottom style="dashDot">
        <color rgb="FF0070C0"/>
      </bottom>
      <diagonal/>
    </border>
    <border>
      <left style="dashDot">
        <color rgb="FF0070C0"/>
      </left>
      <right style="thin">
        <color rgb="FF0070C0"/>
      </right>
      <top style="dashDot">
        <color rgb="FF0070C0"/>
      </top>
      <bottom style="dashDot">
        <color rgb="FF0070C0"/>
      </bottom>
      <diagonal/>
    </border>
    <border>
      <left style="thin">
        <color rgb="FF0070C0"/>
      </left>
      <right style="dashDot">
        <color rgb="FF0070C0"/>
      </right>
      <top style="dashDot">
        <color rgb="FF0070C0"/>
      </top>
      <bottom style="thin">
        <color rgb="FF0070C0"/>
      </bottom>
      <diagonal/>
    </border>
    <border>
      <left style="dashDot">
        <color rgb="FF0070C0"/>
      </left>
      <right style="dashDot">
        <color rgb="FF0070C0"/>
      </right>
      <top style="dashDot">
        <color rgb="FF0070C0"/>
      </top>
      <bottom style="thin">
        <color rgb="FF0070C0"/>
      </bottom>
      <diagonal/>
    </border>
    <border>
      <left style="dashDot">
        <color rgb="FF0070C0"/>
      </left>
      <right style="thin">
        <color rgb="FF0070C0"/>
      </right>
      <top style="dashDot">
        <color rgb="FF0070C0"/>
      </top>
      <bottom style="thin">
        <color rgb="FF0070C0"/>
      </bottom>
      <diagonal/>
    </border>
    <border>
      <left style="thin">
        <color rgb="FF0070C0"/>
      </left>
      <right/>
      <top style="dashDot">
        <color rgb="FF0070C0"/>
      </top>
      <bottom style="thin">
        <color rgb="FF0070C0"/>
      </bottom>
      <diagonal/>
    </border>
    <border>
      <left/>
      <right style="dashDot">
        <color rgb="FF0070C0"/>
      </right>
      <top style="dashDot">
        <color rgb="FF0070C0"/>
      </top>
      <bottom style="thin">
        <color rgb="FF0070C0"/>
      </bottom>
      <diagonal/>
    </border>
    <border>
      <left style="dashDot">
        <color rgb="FF0070C0"/>
      </left>
      <right/>
      <top style="dashDot">
        <color rgb="FF0070C0"/>
      </top>
      <bottom style="thin">
        <color rgb="FF0070C0"/>
      </bottom>
      <diagonal/>
    </border>
    <border>
      <left style="thin">
        <color rgb="FF0070C0"/>
      </left>
      <right/>
      <top style="thin">
        <color rgb="FF0070C0"/>
      </top>
      <bottom style="dashDot">
        <color rgb="FF0070C0"/>
      </bottom>
      <diagonal/>
    </border>
    <border>
      <left/>
      <right/>
      <top style="thin">
        <color rgb="FF0070C0"/>
      </top>
      <bottom style="dashDot">
        <color rgb="FF0070C0"/>
      </bottom>
      <diagonal/>
    </border>
    <border>
      <left/>
      <right style="thin">
        <color rgb="FF0070C0"/>
      </right>
      <top style="thin">
        <color rgb="FF0070C0"/>
      </top>
      <bottom style="dashDot">
        <color rgb="FF0070C0"/>
      </bottom>
      <diagonal/>
    </border>
    <border>
      <left/>
      <right style="thin">
        <color rgb="FF0070C0"/>
      </right>
      <top style="dashDot">
        <color rgb="FF0070C0"/>
      </top>
      <bottom style="dashDot">
        <color rgb="FF0070C0"/>
      </bottom>
      <diagonal/>
    </border>
    <border>
      <left/>
      <right style="thin">
        <color rgb="FF0070C0"/>
      </right>
      <top style="dashDot">
        <color rgb="FF0070C0"/>
      </top>
      <bottom style="thin">
        <color rgb="FF0070C0"/>
      </bottom>
      <diagonal/>
    </border>
    <border>
      <left style="thin">
        <color rgb="FF0070C0"/>
      </left>
      <right style="dashDot">
        <color rgb="FF0070C0"/>
      </right>
      <top style="dashDot">
        <color rgb="FF0070C0"/>
      </top>
      <bottom style="dashDot">
        <color rgb="FF0070C0"/>
      </bottom>
      <diagonal/>
    </border>
    <border>
      <left style="thin">
        <color rgb="FF0070C0"/>
      </left>
      <right style="dashDot">
        <color rgb="FF0070C0"/>
      </right>
      <top style="thin">
        <color rgb="FF0070C0"/>
      </top>
      <bottom/>
      <diagonal/>
    </border>
    <border>
      <left style="dashDot">
        <color rgb="FF0070C0"/>
      </left>
      <right style="thin">
        <color rgb="FF0070C0"/>
      </right>
      <top style="thin">
        <color rgb="FF0070C0"/>
      </top>
      <bottom/>
      <diagonal/>
    </border>
    <border>
      <left style="thin">
        <color rgb="FF0070C0"/>
      </left>
      <right style="dashDot">
        <color rgb="FF0070C0"/>
      </right>
      <top/>
      <bottom style="dashDot">
        <color rgb="FF0070C0"/>
      </bottom>
      <diagonal/>
    </border>
    <border>
      <left style="dashDot">
        <color rgb="FF0070C0"/>
      </left>
      <right style="thin">
        <color rgb="FF0070C0"/>
      </right>
      <top/>
      <bottom style="dashDot">
        <color rgb="FF0070C0"/>
      </bottom>
      <diagonal/>
    </border>
    <border>
      <left style="dashDot">
        <color rgb="FF0070C0"/>
      </left>
      <right style="dashDot">
        <color rgb="FF0070C0"/>
      </right>
      <top style="thin">
        <color rgb="FF0070C0"/>
      </top>
      <bottom/>
      <diagonal/>
    </border>
    <border>
      <left style="medium">
        <color rgb="FF0070C0"/>
      </left>
      <right style="dashDot">
        <color rgb="FF0070C0"/>
      </right>
      <top style="medium">
        <color rgb="FF0070C0"/>
      </top>
      <bottom style="dashDot">
        <color rgb="FF0070C0"/>
      </bottom>
      <diagonal/>
    </border>
    <border>
      <left style="dashDot">
        <color rgb="FF0070C0"/>
      </left>
      <right style="dashDot">
        <color rgb="FF0070C0"/>
      </right>
      <top style="medium">
        <color rgb="FF0070C0"/>
      </top>
      <bottom style="dashDot">
        <color rgb="FF0070C0"/>
      </bottom>
      <diagonal/>
    </border>
    <border>
      <left style="dashDot">
        <color rgb="FF0070C0"/>
      </left>
      <right style="medium">
        <color rgb="FF0070C0"/>
      </right>
      <top style="medium">
        <color rgb="FF0070C0"/>
      </top>
      <bottom style="dashDot">
        <color rgb="FF0070C0"/>
      </bottom>
      <diagonal/>
    </border>
    <border>
      <left style="medium">
        <color rgb="FF0070C0"/>
      </left>
      <right style="dashDot">
        <color rgb="FF0070C0"/>
      </right>
      <top style="dashDot">
        <color rgb="FF0070C0"/>
      </top>
      <bottom style="dashDot">
        <color rgb="FF0070C0"/>
      </bottom>
      <diagonal/>
    </border>
    <border>
      <left style="dashDot">
        <color rgb="FF0070C0"/>
      </left>
      <right style="medium">
        <color rgb="FF0070C0"/>
      </right>
      <top style="dashDot">
        <color rgb="FF0070C0"/>
      </top>
      <bottom style="dashDot">
        <color rgb="FF0070C0"/>
      </bottom>
      <diagonal/>
    </border>
    <border>
      <left style="medium">
        <color rgb="FF0070C0"/>
      </left>
      <right style="dashDot">
        <color rgb="FF0070C0"/>
      </right>
      <top style="dashDot">
        <color rgb="FF0070C0"/>
      </top>
      <bottom style="medium">
        <color rgb="FF0070C0"/>
      </bottom>
      <diagonal/>
    </border>
    <border>
      <left style="dashDot">
        <color rgb="FF0070C0"/>
      </left>
      <right style="dashDot">
        <color rgb="FF0070C0"/>
      </right>
      <top style="dashDot">
        <color rgb="FF0070C0"/>
      </top>
      <bottom style="medium">
        <color rgb="FF0070C0"/>
      </bottom>
      <diagonal/>
    </border>
    <border>
      <left style="dashDot">
        <color rgb="FF0070C0"/>
      </left>
      <right style="medium">
        <color rgb="FF0070C0"/>
      </right>
      <top style="dashDot">
        <color rgb="FF0070C0"/>
      </top>
      <bottom style="medium">
        <color rgb="FF0070C0"/>
      </bottom>
      <diagonal/>
    </border>
    <border>
      <left style="medium">
        <color rgb="FF0070C0"/>
      </left>
      <right/>
      <top style="dashDot">
        <color rgb="FF0070C0"/>
      </top>
      <bottom style="dashDot">
        <color rgb="FF0070C0"/>
      </bottom>
      <diagonal/>
    </border>
    <border>
      <left style="medium">
        <color rgb="FF0070C0"/>
      </left>
      <right/>
      <top style="medium">
        <color rgb="FF0070C0"/>
      </top>
      <bottom style="dashDot">
        <color rgb="FF0070C0"/>
      </bottom>
      <diagonal/>
    </border>
    <border>
      <left/>
      <right/>
      <top style="medium">
        <color rgb="FF0070C0"/>
      </top>
      <bottom style="dashDot">
        <color rgb="FF0070C0"/>
      </bottom>
      <diagonal/>
    </border>
    <border>
      <left/>
      <right style="medium">
        <color rgb="FF0070C0"/>
      </right>
      <top style="medium">
        <color rgb="FF0070C0"/>
      </top>
      <bottom style="dashDot">
        <color rgb="FF0070C0"/>
      </bottom>
      <diagonal/>
    </border>
    <border>
      <left/>
      <right style="medium">
        <color rgb="FF0070C0"/>
      </right>
      <top style="dashDot">
        <color rgb="FF0070C0"/>
      </top>
      <bottom style="dashDot">
        <color rgb="FF0070C0"/>
      </bottom>
      <diagonal/>
    </border>
    <border>
      <left style="medium">
        <color rgb="FF0070C0"/>
      </left>
      <right/>
      <top style="dashDot">
        <color rgb="FF0070C0"/>
      </top>
      <bottom style="medium">
        <color rgb="FF0070C0"/>
      </bottom>
      <diagonal/>
    </border>
    <border>
      <left/>
      <right style="dashDot">
        <color rgb="FF0070C0"/>
      </right>
      <top style="dashDot">
        <color rgb="FF0070C0"/>
      </top>
      <bottom style="medium">
        <color rgb="FF0070C0"/>
      </bottom>
      <diagonal/>
    </border>
    <border>
      <left style="dashDot">
        <color rgb="FF0070C0"/>
      </left>
      <right/>
      <top style="dashDot">
        <color rgb="FF0070C0"/>
      </top>
      <bottom style="medium">
        <color rgb="FF0070C0"/>
      </bottom>
      <diagonal/>
    </border>
    <border>
      <left/>
      <right style="medium">
        <color rgb="FF0070C0"/>
      </right>
      <top style="dashDot">
        <color rgb="FF0070C0"/>
      </top>
      <bottom style="medium">
        <color rgb="FF0070C0"/>
      </bottom>
      <diagonal/>
    </border>
  </borders>
  <cellStyleXfs count="1301">
    <xf numFmtId="0" fontId="0" fillId="0" borderId="0"/>
    <xf numFmtId="0" fontId="2" fillId="0" borderId="0"/>
    <xf numFmtId="0" fontId="3" fillId="0" borderId="0"/>
    <xf numFmtId="0" fontId="2" fillId="0" borderId="0"/>
    <xf numFmtId="0" fontId="6" fillId="0" borderId="0"/>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4"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4"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4"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4"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4"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4"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4"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4"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4"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4"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4"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4"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4"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4"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4"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4"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4"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4"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4"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4"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4"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4"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4"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4"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4"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4"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4"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4"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4"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4"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4"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4"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4"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4"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4"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4"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6"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6"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6"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6"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6"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6"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6"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6"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6"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6"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6"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6"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6"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6"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6"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6"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6"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6"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6"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6"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6"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6"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6"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6"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6"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6"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6"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6"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6"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6"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6"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6"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6"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6"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6"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6"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8"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8"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8"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20" fillId="24" borderId="1" applyNumberFormat="0" applyAlignment="0" applyProtection="0"/>
    <xf numFmtId="0" fontId="21" fillId="24" borderId="1" applyNumberFormat="0" applyAlignment="0" applyProtection="0"/>
    <xf numFmtId="0" fontId="21" fillId="24" borderId="1" applyNumberFormat="0" applyAlignment="0" applyProtection="0"/>
    <xf numFmtId="0" fontId="21" fillId="24" borderId="1" applyNumberFormat="0" applyAlignment="0" applyProtection="0"/>
    <xf numFmtId="0" fontId="21" fillId="24" borderId="1" applyNumberFormat="0" applyAlignment="0" applyProtection="0"/>
    <xf numFmtId="0" fontId="21" fillId="24" borderId="1" applyNumberFormat="0" applyAlignment="0" applyProtection="0"/>
    <xf numFmtId="0" fontId="21" fillId="24" borderId="1" applyNumberFormat="0" applyAlignment="0" applyProtection="0"/>
    <xf numFmtId="0" fontId="20" fillId="24" borderId="1" applyNumberFormat="0" applyAlignment="0" applyProtection="0"/>
    <xf numFmtId="0" fontId="21" fillId="24" borderId="1" applyNumberFormat="0" applyAlignment="0" applyProtection="0"/>
    <xf numFmtId="0" fontId="21" fillId="24" borderId="1" applyNumberFormat="0" applyAlignment="0" applyProtection="0"/>
    <xf numFmtId="0" fontId="21" fillId="24" borderId="1" applyNumberFormat="0" applyAlignment="0" applyProtection="0"/>
    <xf numFmtId="0" fontId="21" fillId="24" borderId="1" applyNumberFormat="0" applyAlignment="0" applyProtection="0"/>
    <xf numFmtId="0" fontId="21" fillId="24" borderId="1" applyNumberFormat="0" applyAlignment="0" applyProtection="0"/>
    <xf numFmtId="0" fontId="21" fillId="24" borderId="1" applyNumberFormat="0" applyAlignment="0" applyProtection="0"/>
    <xf numFmtId="0" fontId="20" fillId="24" borderId="1" applyNumberFormat="0" applyAlignment="0" applyProtection="0"/>
    <xf numFmtId="0" fontId="21" fillId="24" borderId="1" applyNumberFormat="0" applyAlignment="0" applyProtection="0"/>
    <xf numFmtId="0" fontId="21" fillId="24" borderId="1" applyNumberFormat="0" applyAlignment="0" applyProtection="0"/>
    <xf numFmtId="0" fontId="21" fillId="24" borderId="1" applyNumberFormat="0" applyAlignment="0" applyProtection="0"/>
    <xf numFmtId="0" fontId="21" fillId="24" borderId="1" applyNumberFormat="0" applyAlignment="0" applyProtection="0"/>
    <xf numFmtId="0" fontId="21" fillId="24" borderId="1" applyNumberFormat="0" applyAlignment="0" applyProtection="0"/>
    <xf numFmtId="0" fontId="21" fillId="24" borderId="1" applyNumberFormat="0" applyAlignment="0" applyProtection="0"/>
    <xf numFmtId="0" fontId="21" fillId="24" borderId="1" applyNumberFormat="0" applyAlignment="0" applyProtection="0"/>
    <xf numFmtId="0" fontId="21" fillId="24" borderId="1" applyNumberFormat="0" applyAlignment="0" applyProtection="0"/>
    <xf numFmtId="0" fontId="22" fillId="25" borderId="2" applyNumberFormat="0" applyAlignment="0" applyProtection="0"/>
    <xf numFmtId="0" fontId="23" fillId="25" borderId="2" applyNumberFormat="0" applyAlignment="0" applyProtection="0"/>
    <xf numFmtId="0" fontId="23" fillId="25" borderId="2" applyNumberFormat="0" applyAlignment="0" applyProtection="0"/>
    <xf numFmtId="0" fontId="23" fillId="25" borderId="2" applyNumberFormat="0" applyAlignment="0" applyProtection="0"/>
    <xf numFmtId="0" fontId="23" fillId="25" borderId="2" applyNumberFormat="0" applyAlignment="0" applyProtection="0"/>
    <xf numFmtId="0" fontId="23" fillId="25" borderId="2" applyNumberFormat="0" applyAlignment="0" applyProtection="0"/>
    <xf numFmtId="0" fontId="23" fillId="25" borderId="2" applyNumberFormat="0" applyAlignment="0" applyProtection="0"/>
    <xf numFmtId="0" fontId="22" fillId="25" borderId="2" applyNumberFormat="0" applyAlignment="0" applyProtection="0"/>
    <xf numFmtId="0" fontId="23" fillId="25" borderId="2" applyNumberFormat="0" applyAlignment="0" applyProtection="0"/>
    <xf numFmtId="0" fontId="23" fillId="25" borderId="2" applyNumberFormat="0" applyAlignment="0" applyProtection="0"/>
    <xf numFmtId="0" fontId="23" fillId="25" borderId="2" applyNumberFormat="0" applyAlignment="0" applyProtection="0"/>
    <xf numFmtId="0" fontId="23" fillId="25" borderId="2" applyNumberFormat="0" applyAlignment="0" applyProtection="0"/>
    <xf numFmtId="0" fontId="23" fillId="25" borderId="2" applyNumberFormat="0" applyAlignment="0" applyProtection="0"/>
    <xf numFmtId="0" fontId="23" fillId="25" borderId="2" applyNumberFormat="0" applyAlignment="0" applyProtection="0"/>
    <xf numFmtId="0" fontId="22" fillId="25" borderId="2" applyNumberFormat="0" applyAlignment="0" applyProtection="0"/>
    <xf numFmtId="0" fontId="23" fillId="25" borderId="2" applyNumberFormat="0" applyAlignment="0" applyProtection="0"/>
    <xf numFmtId="0" fontId="23" fillId="25" borderId="2" applyNumberFormat="0" applyAlignment="0" applyProtection="0"/>
    <xf numFmtId="0" fontId="23" fillId="25" borderId="2" applyNumberFormat="0" applyAlignment="0" applyProtection="0"/>
    <xf numFmtId="0" fontId="23" fillId="25" borderId="2" applyNumberFormat="0" applyAlignment="0" applyProtection="0"/>
    <xf numFmtId="0" fontId="23" fillId="25" borderId="2" applyNumberFormat="0" applyAlignment="0" applyProtection="0"/>
    <xf numFmtId="0" fontId="23" fillId="25" borderId="2" applyNumberFormat="0" applyAlignment="0" applyProtection="0"/>
    <xf numFmtId="0" fontId="23" fillId="25" borderId="2" applyNumberFormat="0" applyAlignment="0" applyProtection="0"/>
    <xf numFmtId="0" fontId="23" fillId="25" borderId="2" applyNumberFormat="0" applyAlignment="0" applyProtection="0"/>
    <xf numFmtId="43" fontId="2"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43" fontId="3" fillId="0" borderId="0" applyFont="0" applyFill="0" applyBorder="0" applyAlignment="0" applyProtection="0"/>
    <xf numFmtId="167"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6"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0"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3"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7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4" fontId="24" fillId="0" borderId="0" applyFont="0" applyFill="0" applyBorder="0" applyAlignment="0" applyProtection="0"/>
    <xf numFmtId="0" fontId="25" fillId="0" borderId="0">
      <protection locked="0"/>
    </xf>
    <xf numFmtId="0" fontId="26"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5" fillId="0" borderId="0">
      <protection locked="0"/>
    </xf>
    <xf numFmtId="0" fontId="25" fillId="0" borderId="0">
      <protection locked="0"/>
    </xf>
    <xf numFmtId="0" fontId="28" fillId="0" borderId="0">
      <protection locked="0"/>
    </xf>
    <xf numFmtId="0" fontId="25" fillId="0" borderId="0">
      <protection locked="0"/>
    </xf>
    <xf numFmtId="0" fontId="25" fillId="0" borderId="0">
      <protection locked="0"/>
    </xf>
    <xf numFmtId="0" fontId="25" fillId="0" borderId="0">
      <protection locked="0"/>
    </xf>
    <xf numFmtId="0" fontId="28" fillId="0" borderId="0">
      <protection locked="0"/>
    </xf>
    <xf numFmtId="169" fontId="25" fillId="0" borderId="0">
      <protection locked="0"/>
    </xf>
    <xf numFmtId="0" fontId="29"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29"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29"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1" fillId="0" borderId="3" applyNumberFormat="0" applyFill="0" applyAlignment="0" applyProtection="0"/>
    <xf numFmtId="0" fontId="32" fillId="0" borderId="3" applyNumberFormat="0" applyFill="0" applyAlignment="0" applyProtection="0"/>
    <xf numFmtId="0" fontId="32" fillId="0" borderId="3" applyNumberFormat="0" applyFill="0" applyAlignment="0" applyProtection="0"/>
    <xf numFmtId="0" fontId="32" fillId="0" borderId="3" applyNumberFormat="0" applyFill="0" applyAlignment="0" applyProtection="0"/>
    <xf numFmtId="0" fontId="32" fillId="0" borderId="3" applyNumberFormat="0" applyFill="0" applyAlignment="0" applyProtection="0"/>
    <xf numFmtId="0" fontId="32" fillId="0" borderId="3" applyNumberFormat="0" applyFill="0" applyAlignment="0" applyProtection="0"/>
    <xf numFmtId="0" fontId="32" fillId="0" borderId="3" applyNumberFormat="0" applyFill="0" applyAlignment="0" applyProtection="0"/>
    <xf numFmtId="0" fontId="31" fillId="0" borderId="3" applyNumberFormat="0" applyFill="0" applyAlignment="0" applyProtection="0"/>
    <xf numFmtId="0" fontId="32" fillId="0" borderId="3" applyNumberFormat="0" applyFill="0" applyAlignment="0" applyProtection="0"/>
    <xf numFmtId="0" fontId="32" fillId="0" borderId="3" applyNumberFormat="0" applyFill="0" applyAlignment="0" applyProtection="0"/>
    <xf numFmtId="0" fontId="32" fillId="0" borderId="3" applyNumberFormat="0" applyFill="0" applyAlignment="0" applyProtection="0"/>
    <xf numFmtId="0" fontId="32" fillId="0" borderId="3" applyNumberFormat="0" applyFill="0" applyAlignment="0" applyProtection="0"/>
    <xf numFmtId="0" fontId="32" fillId="0" borderId="3" applyNumberFormat="0" applyFill="0" applyAlignment="0" applyProtection="0"/>
    <xf numFmtId="0" fontId="32" fillId="0" borderId="3" applyNumberFormat="0" applyFill="0" applyAlignment="0" applyProtection="0"/>
    <xf numFmtId="0" fontId="31" fillId="0" borderId="3" applyNumberFormat="0" applyFill="0" applyAlignment="0" applyProtection="0"/>
    <xf numFmtId="0" fontId="32" fillId="0" borderId="3" applyNumberFormat="0" applyFill="0" applyAlignment="0" applyProtection="0"/>
    <xf numFmtId="0" fontId="32" fillId="0" borderId="3" applyNumberFormat="0" applyFill="0" applyAlignment="0" applyProtection="0"/>
    <xf numFmtId="0" fontId="32" fillId="0" borderId="3" applyNumberFormat="0" applyFill="0" applyAlignment="0" applyProtection="0"/>
    <xf numFmtId="0" fontId="32" fillId="0" borderId="3" applyNumberFormat="0" applyFill="0" applyAlignment="0" applyProtection="0"/>
    <xf numFmtId="0" fontId="32" fillId="0" borderId="3" applyNumberFormat="0" applyFill="0" applyAlignment="0" applyProtection="0"/>
    <xf numFmtId="0" fontId="32" fillId="0" borderId="3" applyNumberFormat="0" applyFill="0" applyAlignment="0" applyProtection="0"/>
    <xf numFmtId="0" fontId="32" fillId="0" borderId="3" applyNumberFormat="0" applyFill="0" applyAlignment="0" applyProtection="0"/>
    <xf numFmtId="0" fontId="32" fillId="0" borderId="3" applyNumberFormat="0" applyFill="0" applyAlignment="0" applyProtection="0"/>
    <xf numFmtId="0" fontId="33"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3"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3"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4" fillId="0" borderId="4" applyNumberFormat="0" applyFill="0" applyAlignment="0" applyProtection="0"/>
    <xf numFmtId="0" fontId="35" fillId="0" borderId="5" applyNumberFormat="0" applyFill="0" applyAlignment="0" applyProtection="0"/>
    <xf numFmtId="0" fontId="36" fillId="0" borderId="5" applyNumberFormat="0" applyFill="0" applyAlignment="0" applyProtection="0"/>
    <xf numFmtId="0" fontId="36" fillId="0" borderId="5" applyNumberFormat="0" applyFill="0" applyAlignment="0" applyProtection="0"/>
    <xf numFmtId="0" fontId="36" fillId="0" borderId="5" applyNumberFormat="0" applyFill="0" applyAlignment="0" applyProtection="0"/>
    <xf numFmtId="0" fontId="36" fillId="0" borderId="5" applyNumberFormat="0" applyFill="0" applyAlignment="0" applyProtection="0"/>
    <xf numFmtId="0" fontId="36" fillId="0" borderId="5" applyNumberFormat="0" applyFill="0" applyAlignment="0" applyProtection="0"/>
    <xf numFmtId="0" fontId="36" fillId="0" borderId="5" applyNumberFormat="0" applyFill="0" applyAlignment="0" applyProtection="0"/>
    <xf numFmtId="0" fontId="35" fillId="0" borderId="5" applyNumberFormat="0" applyFill="0" applyAlignment="0" applyProtection="0"/>
    <xf numFmtId="0" fontId="36" fillId="0" borderId="5" applyNumberFormat="0" applyFill="0" applyAlignment="0" applyProtection="0"/>
    <xf numFmtId="0" fontId="36" fillId="0" borderId="5" applyNumberFormat="0" applyFill="0" applyAlignment="0" applyProtection="0"/>
    <xf numFmtId="0" fontId="36" fillId="0" borderId="5" applyNumberFormat="0" applyFill="0" applyAlignment="0" applyProtection="0"/>
    <xf numFmtId="0" fontId="36" fillId="0" borderId="5" applyNumberFormat="0" applyFill="0" applyAlignment="0" applyProtection="0"/>
    <xf numFmtId="0" fontId="36" fillId="0" borderId="5" applyNumberFormat="0" applyFill="0" applyAlignment="0" applyProtection="0"/>
    <xf numFmtId="0" fontId="36" fillId="0" borderId="5" applyNumberFormat="0" applyFill="0" applyAlignment="0" applyProtection="0"/>
    <xf numFmtId="0" fontId="35" fillId="0" borderId="5" applyNumberFormat="0" applyFill="0" applyAlignment="0" applyProtection="0"/>
    <xf numFmtId="0" fontId="36" fillId="0" borderId="5" applyNumberFormat="0" applyFill="0" applyAlignment="0" applyProtection="0"/>
    <xf numFmtId="0" fontId="36" fillId="0" borderId="5" applyNumberFormat="0" applyFill="0" applyAlignment="0" applyProtection="0"/>
    <xf numFmtId="0" fontId="36" fillId="0" borderId="5" applyNumberFormat="0" applyFill="0" applyAlignment="0" applyProtection="0"/>
    <xf numFmtId="0" fontId="36" fillId="0" borderId="5" applyNumberFormat="0" applyFill="0" applyAlignment="0" applyProtection="0"/>
    <xf numFmtId="0" fontId="36" fillId="0" borderId="5" applyNumberFormat="0" applyFill="0" applyAlignment="0" applyProtection="0"/>
    <xf numFmtId="0" fontId="36" fillId="0" borderId="5" applyNumberFormat="0" applyFill="0" applyAlignment="0" applyProtection="0"/>
    <xf numFmtId="0" fontId="36" fillId="0" borderId="5" applyNumberFormat="0" applyFill="0" applyAlignment="0" applyProtection="0"/>
    <xf numFmtId="0" fontId="36" fillId="0" borderId="5" applyNumberFormat="0" applyFill="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protection locked="0"/>
    </xf>
    <xf numFmtId="0" fontId="37" fillId="0" borderId="0">
      <protection locked="0"/>
    </xf>
    <xf numFmtId="0" fontId="38"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40" fillId="11" borderId="1" applyNumberFormat="0" applyAlignment="0" applyProtection="0"/>
    <xf numFmtId="0" fontId="41" fillId="11" borderId="1" applyNumberFormat="0" applyAlignment="0" applyProtection="0"/>
    <xf numFmtId="0" fontId="41" fillId="11" borderId="1" applyNumberFormat="0" applyAlignment="0" applyProtection="0"/>
    <xf numFmtId="0" fontId="41" fillId="11" borderId="1" applyNumberFormat="0" applyAlignment="0" applyProtection="0"/>
    <xf numFmtId="0" fontId="41" fillId="11" borderId="1" applyNumberFormat="0" applyAlignment="0" applyProtection="0"/>
    <xf numFmtId="0" fontId="41" fillId="11" borderId="1" applyNumberFormat="0" applyAlignment="0" applyProtection="0"/>
    <xf numFmtId="0" fontId="41" fillId="11" borderId="1" applyNumberFormat="0" applyAlignment="0" applyProtection="0"/>
    <xf numFmtId="0" fontId="40" fillId="11" borderId="1" applyNumberFormat="0" applyAlignment="0" applyProtection="0"/>
    <xf numFmtId="0" fontId="41" fillId="11" borderId="1" applyNumberFormat="0" applyAlignment="0" applyProtection="0"/>
    <xf numFmtId="0" fontId="41" fillId="11" borderId="1" applyNumberFormat="0" applyAlignment="0" applyProtection="0"/>
    <xf numFmtId="0" fontId="41" fillId="11" borderId="1" applyNumberFormat="0" applyAlignment="0" applyProtection="0"/>
    <xf numFmtId="0" fontId="41" fillId="11" borderId="1" applyNumberFormat="0" applyAlignment="0" applyProtection="0"/>
    <xf numFmtId="0" fontId="41" fillId="11" borderId="1" applyNumberFormat="0" applyAlignment="0" applyProtection="0"/>
    <xf numFmtId="0" fontId="41" fillId="11" borderId="1" applyNumberFormat="0" applyAlignment="0" applyProtection="0"/>
    <xf numFmtId="0" fontId="40" fillId="11" borderId="1" applyNumberFormat="0" applyAlignment="0" applyProtection="0"/>
    <xf numFmtId="0" fontId="41" fillId="11" borderId="1" applyNumberFormat="0" applyAlignment="0" applyProtection="0"/>
    <xf numFmtId="0" fontId="41" fillId="11" borderId="1" applyNumberFormat="0" applyAlignment="0" applyProtection="0"/>
    <xf numFmtId="0" fontId="41" fillId="11" borderId="1" applyNumberFormat="0" applyAlignment="0" applyProtection="0"/>
    <xf numFmtId="0" fontId="41" fillId="11" borderId="1" applyNumberFormat="0" applyAlignment="0" applyProtection="0"/>
    <xf numFmtId="0" fontId="41" fillId="11" borderId="1" applyNumberFormat="0" applyAlignment="0" applyProtection="0"/>
    <xf numFmtId="0" fontId="41" fillId="11" borderId="1" applyNumberFormat="0" applyAlignment="0" applyProtection="0"/>
    <xf numFmtId="0" fontId="41" fillId="11" borderId="1" applyNumberFormat="0" applyAlignment="0" applyProtection="0"/>
    <xf numFmtId="0" fontId="41" fillId="11" borderId="1" applyNumberFormat="0" applyAlignment="0" applyProtection="0"/>
    <xf numFmtId="0" fontId="42" fillId="0" borderId="6" applyNumberFormat="0" applyFill="0" applyAlignment="0" applyProtection="0"/>
    <xf numFmtId="0" fontId="43" fillId="0" borderId="6" applyNumberFormat="0" applyFill="0" applyAlignment="0" applyProtection="0"/>
    <xf numFmtId="0" fontId="43" fillId="0" borderId="6" applyNumberFormat="0" applyFill="0" applyAlignment="0" applyProtection="0"/>
    <xf numFmtId="0" fontId="43" fillId="0" borderId="6" applyNumberFormat="0" applyFill="0" applyAlignment="0" applyProtection="0"/>
    <xf numFmtId="0" fontId="43" fillId="0" borderId="6" applyNumberFormat="0" applyFill="0" applyAlignment="0" applyProtection="0"/>
    <xf numFmtId="0" fontId="43" fillId="0" borderId="6" applyNumberFormat="0" applyFill="0" applyAlignment="0" applyProtection="0"/>
    <xf numFmtId="0" fontId="43" fillId="0" borderId="6" applyNumberFormat="0" applyFill="0" applyAlignment="0" applyProtection="0"/>
    <xf numFmtId="0" fontId="42" fillId="0" borderId="6" applyNumberFormat="0" applyFill="0" applyAlignment="0" applyProtection="0"/>
    <xf numFmtId="0" fontId="43" fillId="0" borderId="6" applyNumberFormat="0" applyFill="0" applyAlignment="0" applyProtection="0"/>
    <xf numFmtId="0" fontId="43" fillId="0" borderId="6" applyNumberFormat="0" applyFill="0" applyAlignment="0" applyProtection="0"/>
    <xf numFmtId="0" fontId="43" fillId="0" borderId="6" applyNumberFormat="0" applyFill="0" applyAlignment="0" applyProtection="0"/>
    <xf numFmtId="0" fontId="43" fillId="0" borderId="6" applyNumberFormat="0" applyFill="0" applyAlignment="0" applyProtection="0"/>
    <xf numFmtId="0" fontId="43" fillId="0" borderId="6" applyNumberFormat="0" applyFill="0" applyAlignment="0" applyProtection="0"/>
    <xf numFmtId="0" fontId="43" fillId="0" borderId="6" applyNumberFormat="0" applyFill="0" applyAlignment="0" applyProtection="0"/>
    <xf numFmtId="0" fontId="42" fillId="0" borderId="6" applyNumberFormat="0" applyFill="0" applyAlignment="0" applyProtection="0"/>
    <xf numFmtId="0" fontId="43" fillId="0" borderId="6" applyNumberFormat="0" applyFill="0" applyAlignment="0" applyProtection="0"/>
    <xf numFmtId="0" fontId="43" fillId="0" borderId="6" applyNumberFormat="0" applyFill="0" applyAlignment="0" applyProtection="0"/>
    <xf numFmtId="0" fontId="43" fillId="0" borderId="6" applyNumberFormat="0" applyFill="0" applyAlignment="0" applyProtection="0"/>
    <xf numFmtId="0" fontId="43" fillId="0" borderId="6" applyNumberFormat="0" applyFill="0" applyAlignment="0" applyProtection="0"/>
    <xf numFmtId="0" fontId="43" fillId="0" borderId="6" applyNumberFormat="0" applyFill="0" applyAlignment="0" applyProtection="0"/>
    <xf numFmtId="0" fontId="43" fillId="0" borderId="6" applyNumberFormat="0" applyFill="0" applyAlignment="0" applyProtection="0"/>
    <xf numFmtId="0" fontId="43" fillId="0" borderId="6" applyNumberFormat="0" applyFill="0" applyAlignment="0" applyProtection="0"/>
    <xf numFmtId="0" fontId="43" fillId="0" borderId="6" applyNumberFormat="0" applyFill="0" applyAlignment="0" applyProtection="0"/>
    <xf numFmtId="0" fontId="44" fillId="0" borderId="0" applyNumberFormat="0">
      <alignment horizontal="right"/>
    </xf>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5"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5"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7" fillId="2"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6"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 fillId="0" borderId="0"/>
    <xf numFmtId="0" fontId="2" fillId="0" borderId="0"/>
    <xf numFmtId="0" fontId="2" fillId="0" borderId="0"/>
    <xf numFmtId="0" fontId="2" fillId="0" borderId="0"/>
    <xf numFmtId="0" fontId="48" fillId="0" borderId="0"/>
    <xf numFmtId="0" fontId="24" fillId="0" borderId="0"/>
    <xf numFmtId="0" fontId="24" fillId="0" borderId="0"/>
    <xf numFmtId="0" fontId="24" fillId="0" borderId="0"/>
    <xf numFmtId="0" fontId="24"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 fillId="0" borderId="0"/>
    <xf numFmtId="0" fontId="2" fillId="0" borderId="0"/>
    <xf numFmtId="0" fontId="2" fillId="0" borderId="0"/>
    <xf numFmtId="0" fontId="2" fillId="0" borderId="0"/>
    <xf numFmtId="0" fontId="49"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9" fillId="0" borderId="0"/>
    <xf numFmtId="0" fontId="49" fillId="0" borderId="0"/>
    <xf numFmtId="0" fontId="49" fillId="0" borderId="0"/>
    <xf numFmtId="0" fontId="49" fillId="0" borderId="0"/>
    <xf numFmtId="0" fontId="49" fillId="0" borderId="0"/>
    <xf numFmtId="0" fontId="2" fillId="0" borderId="0"/>
    <xf numFmtId="0" fontId="2" fillId="0" borderId="0"/>
    <xf numFmtId="0" fontId="24" fillId="0" borderId="0"/>
    <xf numFmtId="0" fontId="24" fillId="0" borderId="0"/>
    <xf numFmtId="0" fontId="50" fillId="0" borderId="0"/>
    <xf numFmtId="0" fontId="50" fillId="0" borderId="0"/>
    <xf numFmtId="0" fontId="24" fillId="0" borderId="0"/>
    <xf numFmtId="0" fontId="50" fillId="0" borderId="0"/>
    <xf numFmtId="0" fontId="24" fillId="0" borderId="0"/>
    <xf numFmtId="0" fontId="50" fillId="0" borderId="0"/>
    <xf numFmtId="0" fontId="24" fillId="0" borderId="0"/>
    <xf numFmtId="0" fontId="50" fillId="0" borderId="0"/>
    <xf numFmtId="0" fontId="24" fillId="0" borderId="0"/>
    <xf numFmtId="0" fontId="50"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49" fillId="0" borderId="0"/>
    <xf numFmtId="0" fontId="3" fillId="0" borderId="0"/>
    <xf numFmtId="0" fontId="3" fillId="0" borderId="0"/>
    <xf numFmtId="0" fontId="3" fillId="0" borderId="0"/>
    <xf numFmtId="0" fontId="3" fillId="0" borderId="0"/>
    <xf numFmtId="0" fontId="3" fillId="0" borderId="0"/>
    <xf numFmtId="0" fontId="3"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4" fillId="0" borderId="0"/>
    <xf numFmtId="0" fontId="24" fillId="0" borderId="0"/>
    <xf numFmtId="0" fontId="24" fillId="0" borderId="0"/>
    <xf numFmtId="0" fontId="24" fillId="0" borderId="0"/>
    <xf numFmtId="0" fontId="24" fillId="0" borderId="0"/>
    <xf numFmtId="0" fontId="24" fillId="0" borderId="0"/>
    <xf numFmtId="0" fontId="2" fillId="0" borderId="0"/>
    <xf numFmtId="0" fontId="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4" fillId="27" borderId="7" applyNumberFormat="0" applyFont="0" applyAlignment="0" applyProtection="0"/>
    <xf numFmtId="0" fontId="24" fillId="27" borderId="7" applyNumberFormat="0" applyFont="0" applyAlignment="0" applyProtection="0"/>
    <xf numFmtId="0" fontId="24" fillId="27" borderId="7" applyNumberFormat="0" applyFont="0" applyAlignment="0" applyProtection="0"/>
    <xf numFmtId="0" fontId="24" fillId="27" borderId="7" applyNumberFormat="0" applyFont="0" applyAlignment="0" applyProtection="0"/>
    <xf numFmtId="0" fontId="24" fillId="27" borderId="7" applyNumberFormat="0" applyFont="0" applyAlignment="0" applyProtection="0"/>
    <xf numFmtId="0" fontId="24" fillId="27" borderId="7" applyNumberFormat="0" applyFont="0" applyAlignment="0" applyProtection="0"/>
    <xf numFmtId="0" fontId="24" fillId="27" borderId="7" applyNumberFormat="0" applyFont="0" applyAlignment="0" applyProtection="0"/>
    <xf numFmtId="0" fontId="51" fillId="24" borderId="8" applyNumberFormat="0" applyAlignment="0" applyProtection="0"/>
    <xf numFmtId="0" fontId="52" fillId="24" borderId="8" applyNumberFormat="0" applyAlignment="0" applyProtection="0"/>
    <xf numFmtId="0" fontId="52" fillId="24" borderId="8" applyNumberFormat="0" applyAlignment="0" applyProtection="0"/>
    <xf numFmtId="0" fontId="52" fillId="24" borderId="8" applyNumberFormat="0" applyAlignment="0" applyProtection="0"/>
    <xf numFmtId="0" fontId="52" fillId="24" borderId="8" applyNumberFormat="0" applyAlignment="0" applyProtection="0"/>
    <xf numFmtId="0" fontId="52" fillId="24" borderId="8" applyNumberFormat="0" applyAlignment="0" applyProtection="0"/>
    <xf numFmtId="0" fontId="52" fillId="24" borderId="8" applyNumberFormat="0" applyAlignment="0" applyProtection="0"/>
    <xf numFmtId="0" fontId="51" fillId="24" borderId="8" applyNumberFormat="0" applyAlignment="0" applyProtection="0"/>
    <xf numFmtId="0" fontId="52" fillId="24" borderId="8" applyNumberFormat="0" applyAlignment="0" applyProtection="0"/>
    <xf numFmtId="0" fontId="52" fillId="24" borderId="8" applyNumberFormat="0" applyAlignment="0" applyProtection="0"/>
    <xf numFmtId="0" fontId="52" fillId="24" borderId="8" applyNumberFormat="0" applyAlignment="0" applyProtection="0"/>
    <xf numFmtId="0" fontId="52" fillId="24" borderId="8" applyNumberFormat="0" applyAlignment="0" applyProtection="0"/>
    <xf numFmtId="0" fontId="52" fillId="24" borderId="8" applyNumberFormat="0" applyAlignment="0" applyProtection="0"/>
    <xf numFmtId="0" fontId="52" fillId="24" borderId="8" applyNumberFormat="0" applyAlignment="0" applyProtection="0"/>
    <xf numFmtId="0" fontId="51" fillId="24" borderId="8" applyNumberFormat="0" applyAlignment="0" applyProtection="0"/>
    <xf numFmtId="0" fontId="52" fillId="24" borderId="8" applyNumberFormat="0" applyAlignment="0" applyProtection="0"/>
    <xf numFmtId="0" fontId="52" fillId="24" borderId="8" applyNumberFormat="0" applyAlignment="0" applyProtection="0"/>
    <xf numFmtId="0" fontId="52" fillId="24" borderId="8" applyNumberFormat="0" applyAlignment="0" applyProtection="0"/>
    <xf numFmtId="0" fontId="52" fillId="24" borderId="8" applyNumberFormat="0" applyAlignment="0" applyProtection="0"/>
    <xf numFmtId="0" fontId="52" fillId="24" borderId="8" applyNumberFormat="0" applyAlignment="0" applyProtection="0"/>
    <xf numFmtId="0" fontId="52" fillId="24" borderId="8" applyNumberFormat="0" applyAlignment="0" applyProtection="0"/>
    <xf numFmtId="0" fontId="52" fillId="24" borderId="8" applyNumberFormat="0" applyAlignment="0" applyProtection="0"/>
    <xf numFmtId="0" fontId="52" fillId="24" borderId="8" applyNumberFormat="0" applyAlignment="0" applyProtection="0"/>
    <xf numFmtId="9" fontId="24" fillId="0" borderId="0" applyFont="0" applyFill="0" applyBorder="0" applyAlignment="0" applyProtection="0"/>
    <xf numFmtId="0" fontId="13" fillId="0" borderId="0">
      <alignment vertical="top"/>
    </xf>
    <xf numFmtId="0" fontId="53"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5" fillId="0" borderId="9" applyNumberFormat="0" applyFill="0" applyAlignment="0" applyProtection="0"/>
    <xf numFmtId="0" fontId="56" fillId="0" borderId="9" applyNumberFormat="0" applyFill="0" applyAlignment="0" applyProtection="0"/>
    <xf numFmtId="0" fontId="56" fillId="0" borderId="9" applyNumberFormat="0" applyFill="0" applyAlignment="0" applyProtection="0"/>
    <xf numFmtId="0" fontId="56" fillId="0" borderId="9" applyNumberFormat="0" applyFill="0" applyAlignment="0" applyProtection="0"/>
    <xf numFmtId="0" fontId="56" fillId="0" borderId="9" applyNumberFormat="0" applyFill="0" applyAlignment="0" applyProtection="0"/>
    <xf numFmtId="0" fontId="56" fillId="0" borderId="9" applyNumberFormat="0" applyFill="0" applyAlignment="0" applyProtection="0"/>
    <xf numFmtId="0" fontId="56" fillId="0" borderId="9" applyNumberFormat="0" applyFill="0" applyAlignment="0" applyProtection="0"/>
    <xf numFmtId="0" fontId="55" fillId="0" borderId="9" applyNumberFormat="0" applyFill="0" applyAlignment="0" applyProtection="0"/>
    <xf numFmtId="0" fontId="56" fillId="0" borderId="9" applyNumberFormat="0" applyFill="0" applyAlignment="0" applyProtection="0"/>
    <xf numFmtId="0" fontId="56" fillId="0" borderId="9" applyNumberFormat="0" applyFill="0" applyAlignment="0" applyProtection="0"/>
    <xf numFmtId="0" fontId="56" fillId="0" borderId="9" applyNumberFormat="0" applyFill="0" applyAlignment="0" applyProtection="0"/>
    <xf numFmtId="0" fontId="56" fillId="0" borderId="9" applyNumberFormat="0" applyFill="0" applyAlignment="0" applyProtection="0"/>
    <xf numFmtId="0" fontId="56" fillId="0" borderId="9" applyNumberFormat="0" applyFill="0" applyAlignment="0" applyProtection="0"/>
    <xf numFmtId="0" fontId="56" fillId="0" borderId="9" applyNumberFormat="0" applyFill="0" applyAlignment="0" applyProtection="0"/>
    <xf numFmtId="0" fontId="55" fillId="0" borderId="9" applyNumberFormat="0" applyFill="0" applyAlignment="0" applyProtection="0"/>
    <xf numFmtId="0" fontId="56" fillId="0" borderId="9" applyNumberFormat="0" applyFill="0" applyAlignment="0" applyProtection="0"/>
    <xf numFmtId="0" fontId="56" fillId="0" borderId="9" applyNumberFormat="0" applyFill="0" applyAlignment="0" applyProtection="0"/>
    <xf numFmtId="0" fontId="56" fillId="0" borderId="9" applyNumberFormat="0" applyFill="0" applyAlignment="0" applyProtection="0"/>
    <xf numFmtId="0" fontId="56" fillId="0" borderId="9" applyNumberFormat="0" applyFill="0" applyAlignment="0" applyProtection="0"/>
    <xf numFmtId="0" fontId="56" fillId="0" borderId="9" applyNumberFormat="0" applyFill="0" applyAlignment="0" applyProtection="0"/>
    <xf numFmtId="0" fontId="56" fillId="0" borderId="9" applyNumberFormat="0" applyFill="0" applyAlignment="0" applyProtection="0"/>
    <xf numFmtId="0" fontId="56" fillId="0" borderId="9" applyNumberFormat="0" applyFill="0" applyAlignment="0" applyProtection="0"/>
    <xf numFmtId="0" fontId="56" fillId="0" borderId="9" applyNumberFormat="0" applyFill="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9" fillId="0" borderId="10">
      <alignment horizontal="center" vertical="center"/>
    </xf>
    <xf numFmtId="0" fontId="6" fillId="0" borderId="0"/>
    <xf numFmtId="0" fontId="69" fillId="0" borderId="0" applyNumberFormat="0" applyFill="0" applyBorder="0" applyAlignment="0" applyProtection="0">
      <alignment vertical="top"/>
      <protection locked="0"/>
    </xf>
    <xf numFmtId="43"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cellStyleXfs>
  <cellXfs count="546">
    <xf numFmtId="0" fontId="0" fillId="0" borderId="0" xfId="0"/>
    <xf numFmtId="0" fontId="3" fillId="0" borderId="0" xfId="2"/>
    <xf numFmtId="166" fontId="4" fillId="0" borderId="0" xfId="3" applyNumberFormat="1" applyFont="1" applyAlignment="1">
      <alignment horizontal="center" vertical="center" wrapText="1"/>
    </xf>
    <xf numFmtId="166" fontId="5" fillId="0" borderId="0" xfId="3" applyNumberFormat="1" applyFont="1" applyAlignment="1">
      <alignment horizontal="center" vertical="center" wrapText="1"/>
    </xf>
    <xf numFmtId="0" fontId="6" fillId="0" borderId="0" xfId="4"/>
    <xf numFmtId="0" fontId="8" fillId="0" borderId="0" xfId="2" applyFont="1"/>
    <xf numFmtId="166" fontId="9" fillId="0" borderId="0" xfId="3" applyNumberFormat="1" applyFont="1" applyAlignment="1">
      <alignment horizontal="center" vertical="center" wrapText="1"/>
    </xf>
    <xf numFmtId="0" fontId="10" fillId="0" borderId="0" xfId="4" applyFont="1"/>
    <xf numFmtId="167" fontId="3" fillId="0" borderId="0" xfId="2" applyNumberFormat="1" applyBorder="1"/>
    <xf numFmtId="0" fontId="3" fillId="0" borderId="0" xfId="2" applyBorder="1"/>
    <xf numFmtId="166" fontId="4" fillId="0" borderId="0" xfId="3" applyNumberFormat="1" applyFont="1" applyBorder="1" applyAlignment="1">
      <alignment horizontal="center" vertical="center" wrapText="1"/>
    </xf>
    <xf numFmtId="166" fontId="5" fillId="0" borderId="0" xfId="3" applyNumberFormat="1" applyFont="1" applyBorder="1" applyAlignment="1">
      <alignment horizontal="center" vertical="center" wrapText="1"/>
    </xf>
    <xf numFmtId="0" fontId="6" fillId="0" borderId="0" xfId="4" applyBorder="1"/>
    <xf numFmtId="0" fontId="6" fillId="0" borderId="0" xfId="4" applyAlignment="1">
      <alignment horizontal="center"/>
    </xf>
    <xf numFmtId="166" fontId="61" fillId="0" borderId="0" xfId="3" applyNumberFormat="1" applyFont="1" applyBorder="1" applyAlignment="1">
      <alignment vertical="center" wrapText="1"/>
    </xf>
    <xf numFmtId="166" fontId="61" fillId="0" borderId="0" xfId="3" applyNumberFormat="1" applyFont="1" applyAlignment="1">
      <alignment horizontal="center" vertical="center" wrapText="1"/>
    </xf>
    <xf numFmtId="167" fontId="61" fillId="0" borderId="0" xfId="3" applyNumberFormat="1" applyFont="1" applyAlignment="1">
      <alignment horizontal="center" vertical="center" wrapText="1"/>
    </xf>
    <xf numFmtId="174" fontId="61" fillId="0" borderId="0" xfId="3" applyNumberFormat="1" applyFont="1" applyAlignment="1">
      <alignment horizontal="center" vertical="center" wrapText="1"/>
    </xf>
    <xf numFmtId="170" fontId="61" fillId="0" borderId="0" xfId="3" applyNumberFormat="1" applyFont="1" applyAlignment="1">
      <alignment horizontal="center" vertical="center" wrapText="1"/>
    </xf>
    <xf numFmtId="0" fontId="61" fillId="0" borderId="0" xfId="4" applyFont="1"/>
    <xf numFmtId="0" fontId="4" fillId="0" borderId="0" xfId="4" applyFont="1"/>
    <xf numFmtId="0" fontId="5" fillId="0" borderId="0" xfId="4" applyFont="1"/>
    <xf numFmtId="0" fontId="61" fillId="30" borderId="0" xfId="4" applyFont="1" applyFill="1"/>
    <xf numFmtId="173" fontId="5" fillId="0" borderId="0" xfId="4" applyNumberFormat="1" applyFont="1"/>
    <xf numFmtId="0" fontId="6" fillId="0" borderId="0" xfId="1293"/>
    <xf numFmtId="0" fontId="10" fillId="0" borderId="0" xfId="1293" applyFont="1"/>
    <xf numFmtId="0" fontId="6" fillId="0" borderId="0" xfId="1293" applyBorder="1"/>
    <xf numFmtId="0" fontId="6" fillId="0" borderId="0" xfId="1293" applyAlignment="1">
      <alignment horizontal="center"/>
    </xf>
    <xf numFmtId="166" fontId="74" fillId="0" borderId="0" xfId="3" applyNumberFormat="1" applyFont="1" applyAlignment="1">
      <alignment horizontal="center" vertical="center" wrapText="1"/>
    </xf>
    <xf numFmtId="166" fontId="75" fillId="0" borderId="0" xfId="3" applyNumberFormat="1" applyFont="1" applyAlignment="1">
      <alignment horizontal="center" vertical="center" wrapText="1"/>
    </xf>
    <xf numFmtId="166" fontId="76" fillId="0" borderId="0" xfId="3" applyNumberFormat="1" applyFont="1" applyAlignment="1">
      <alignment horizontal="center" vertical="center" wrapText="1"/>
    </xf>
    <xf numFmtId="166" fontId="65" fillId="0" borderId="0" xfId="3" applyNumberFormat="1" applyFont="1" applyAlignment="1">
      <alignment horizontal="center" vertical="center" wrapText="1"/>
    </xf>
    <xf numFmtId="167" fontId="74" fillId="0" borderId="0" xfId="4" applyNumberFormat="1" applyFont="1" applyAlignment="1">
      <alignment horizontal="center" vertical="center" wrapText="1"/>
    </xf>
    <xf numFmtId="167" fontId="78" fillId="0" borderId="0" xfId="4" applyNumberFormat="1" applyFont="1" applyAlignment="1">
      <alignment horizontal="center" vertical="center" wrapText="1"/>
    </xf>
    <xf numFmtId="171" fontId="78" fillId="0" borderId="0" xfId="4" applyNumberFormat="1" applyFont="1" applyAlignment="1">
      <alignment horizontal="left" vertical="center" wrapText="1"/>
    </xf>
    <xf numFmtId="167" fontId="79" fillId="0" borderId="0" xfId="4" applyNumberFormat="1" applyFont="1" applyAlignment="1">
      <alignment horizontal="center" vertical="center" wrapText="1"/>
    </xf>
    <xf numFmtId="167" fontId="4" fillId="0" borderId="0" xfId="4" applyNumberFormat="1" applyFont="1" applyAlignment="1">
      <alignment horizontal="center" vertical="center" wrapText="1"/>
    </xf>
    <xf numFmtId="171" fontId="4" fillId="0" borderId="0" xfId="4" applyNumberFormat="1" applyFont="1" applyAlignment="1">
      <alignment horizontal="left" vertical="center" wrapText="1"/>
    </xf>
    <xf numFmtId="167" fontId="5" fillId="0" borderId="0" xfId="4" applyNumberFormat="1" applyFont="1" applyAlignment="1">
      <alignment horizontal="center" vertical="center" wrapText="1"/>
    </xf>
    <xf numFmtId="176" fontId="74" fillId="0" borderId="0" xfId="654" applyNumberFormat="1" applyFont="1" applyAlignment="1">
      <alignment horizontal="center" vertical="center" wrapText="1"/>
    </xf>
    <xf numFmtId="167" fontId="74" fillId="0" borderId="0" xfId="654" applyNumberFormat="1" applyFont="1" applyAlignment="1">
      <alignment horizontal="center" vertical="center" wrapText="1"/>
    </xf>
    <xf numFmtId="176" fontId="4" fillId="0" borderId="0" xfId="654" applyNumberFormat="1" applyFont="1" applyAlignment="1">
      <alignment horizontal="center" vertical="center" wrapText="1"/>
    </xf>
    <xf numFmtId="171" fontId="4" fillId="0" borderId="0" xfId="654" applyNumberFormat="1" applyFont="1" applyAlignment="1">
      <alignment horizontal="left" vertical="center" wrapText="1"/>
    </xf>
    <xf numFmtId="176" fontId="5" fillId="0" borderId="0" xfId="654" applyNumberFormat="1" applyFont="1" applyAlignment="1">
      <alignment horizontal="center" vertical="center" wrapText="1"/>
    </xf>
    <xf numFmtId="171" fontId="74" fillId="0" borderId="0" xfId="654" applyNumberFormat="1" applyFont="1" applyAlignment="1">
      <alignment horizontal="center" vertical="center" wrapText="1"/>
    </xf>
    <xf numFmtId="176" fontId="78" fillId="0" borderId="0" xfId="654" applyNumberFormat="1" applyFont="1" applyAlignment="1">
      <alignment horizontal="center" vertical="center" wrapText="1"/>
    </xf>
    <xf numFmtId="176" fontId="79" fillId="0" borderId="0" xfId="654" applyNumberFormat="1" applyFont="1" applyAlignment="1">
      <alignment horizontal="center" vertical="center" wrapText="1"/>
    </xf>
    <xf numFmtId="167" fontId="81" fillId="0" borderId="0" xfId="4" applyNumberFormat="1" applyFont="1" applyAlignment="1">
      <alignment horizontal="center" vertical="center" wrapText="1"/>
    </xf>
    <xf numFmtId="172" fontId="81" fillId="0" borderId="0" xfId="4" applyNumberFormat="1" applyFont="1" applyAlignment="1">
      <alignment horizontal="center" vertical="center" wrapText="1"/>
    </xf>
    <xf numFmtId="172" fontId="81" fillId="0" borderId="0" xfId="4" applyNumberFormat="1" applyFont="1" applyBorder="1" applyAlignment="1">
      <alignment horizontal="center" vertical="center" wrapText="1"/>
    </xf>
    <xf numFmtId="167" fontId="73" fillId="0" borderId="0" xfId="4" applyNumberFormat="1" applyFont="1" applyAlignment="1">
      <alignment horizontal="center" vertical="center" wrapText="1"/>
    </xf>
    <xf numFmtId="171" fontId="81" fillId="0" borderId="0" xfId="4" applyNumberFormat="1" applyFont="1" applyAlignment="1">
      <alignment horizontal="left" vertical="center" wrapText="1"/>
    </xf>
    <xf numFmtId="172" fontId="79" fillId="0" borderId="0" xfId="4" applyNumberFormat="1" applyFont="1" applyAlignment="1">
      <alignment horizontal="center" vertical="center" wrapText="1"/>
    </xf>
    <xf numFmtId="172" fontId="79" fillId="0" borderId="0" xfId="4" applyNumberFormat="1" applyFont="1" applyBorder="1" applyAlignment="1">
      <alignment horizontal="center" vertical="center" wrapText="1"/>
    </xf>
    <xf numFmtId="166" fontId="73" fillId="0" borderId="0" xfId="3" applyNumberFormat="1" applyFont="1" applyBorder="1" applyAlignment="1">
      <alignment vertical="center" wrapText="1"/>
    </xf>
    <xf numFmtId="167" fontId="73" fillId="0" borderId="0" xfId="3" applyNumberFormat="1" applyFont="1" applyAlignment="1">
      <alignment horizontal="center" vertical="center" wrapText="1"/>
    </xf>
    <xf numFmtId="166" fontId="73" fillId="0" borderId="0" xfId="3" applyNumberFormat="1" applyFont="1" applyAlignment="1">
      <alignment horizontal="center" vertical="center" wrapText="1"/>
    </xf>
    <xf numFmtId="170" fontId="73" fillId="0" borderId="0" xfId="3" applyNumberFormat="1" applyFont="1" applyAlignment="1">
      <alignment horizontal="center" vertical="center" wrapText="1"/>
    </xf>
    <xf numFmtId="0" fontId="73" fillId="0" borderId="0" xfId="4" applyFont="1"/>
    <xf numFmtId="0" fontId="74" fillId="0" borderId="0" xfId="4" applyFont="1"/>
    <xf numFmtId="0" fontId="83" fillId="0" borderId="0" xfId="2" applyFont="1"/>
    <xf numFmtId="0" fontId="62" fillId="36" borderId="12" xfId="2" applyFont="1" applyFill="1" applyBorder="1" applyAlignment="1">
      <alignment horizontal="right" vertical="center"/>
    </xf>
    <xf numFmtId="0" fontId="5" fillId="0" borderId="0" xfId="2" applyFont="1" applyAlignment="1">
      <alignment horizontal="center" vertical="center"/>
    </xf>
    <xf numFmtId="0" fontId="62" fillId="36" borderId="14" xfId="2" applyFont="1" applyFill="1" applyBorder="1" applyAlignment="1">
      <alignment horizontal="right" vertical="center"/>
    </xf>
    <xf numFmtId="0" fontId="62" fillId="36" borderId="14" xfId="2" applyFont="1" applyFill="1" applyBorder="1" applyAlignment="1">
      <alignment horizontal="right" vertical="center" wrapText="1"/>
    </xf>
    <xf numFmtId="177" fontId="62" fillId="36" borderId="14" xfId="2" applyNumberFormat="1" applyFont="1" applyFill="1" applyBorder="1" applyAlignment="1">
      <alignment vertical="center"/>
    </xf>
    <xf numFmtId="0" fontId="5" fillId="0" borderId="0" xfId="2" applyFont="1" applyAlignment="1">
      <alignment horizontal="right" vertical="center"/>
    </xf>
    <xf numFmtId="0" fontId="62" fillId="36" borderId="14" xfId="2" applyFont="1" applyFill="1" applyBorder="1" applyAlignment="1">
      <alignment horizontal="right"/>
    </xf>
    <xf numFmtId="0" fontId="5" fillId="0" borderId="0" xfId="2" applyFont="1" applyAlignment="1">
      <alignment horizontal="right"/>
    </xf>
    <xf numFmtId="0" fontId="62" fillId="36" borderId="14" xfId="2" applyFont="1" applyFill="1" applyBorder="1"/>
    <xf numFmtId="0" fontId="5" fillId="0" borderId="0" xfId="2" applyFont="1"/>
    <xf numFmtId="0" fontId="62" fillId="36" borderId="15" xfId="2" applyFont="1" applyFill="1" applyBorder="1"/>
    <xf numFmtId="176" fontId="74" fillId="0" borderId="0" xfId="665" applyNumberFormat="1" applyFont="1" applyAlignment="1">
      <alignment horizontal="center" vertical="center" wrapText="1"/>
    </xf>
    <xf numFmtId="167" fontId="74" fillId="0" borderId="0" xfId="665" applyNumberFormat="1" applyFont="1" applyAlignment="1">
      <alignment horizontal="center" vertical="center" wrapText="1"/>
    </xf>
    <xf numFmtId="176" fontId="4" fillId="0" borderId="0" xfId="665" applyNumberFormat="1" applyFont="1" applyAlignment="1">
      <alignment horizontal="center" vertical="center" wrapText="1"/>
    </xf>
    <xf numFmtId="171" fontId="4" fillId="0" borderId="0" xfId="665" applyNumberFormat="1" applyFont="1" applyAlignment="1">
      <alignment horizontal="left" vertical="center" wrapText="1"/>
    </xf>
    <xf numFmtId="176" fontId="5" fillId="0" borderId="0" xfId="665" applyNumberFormat="1" applyFont="1" applyAlignment="1">
      <alignment horizontal="center" vertical="center" wrapText="1"/>
    </xf>
    <xf numFmtId="171" fontId="74" fillId="0" borderId="0" xfId="665" applyNumberFormat="1" applyFont="1" applyAlignment="1">
      <alignment horizontal="center" vertical="center" wrapText="1"/>
    </xf>
    <xf numFmtId="176" fontId="78" fillId="0" borderId="0" xfId="665" applyNumberFormat="1" applyFont="1" applyAlignment="1">
      <alignment horizontal="center" vertical="center" wrapText="1"/>
    </xf>
    <xf numFmtId="176" fontId="79" fillId="0" borderId="0" xfId="665" applyNumberFormat="1" applyFont="1" applyAlignment="1">
      <alignment horizontal="center" vertical="center" wrapText="1"/>
    </xf>
    <xf numFmtId="172" fontId="78" fillId="0" borderId="0" xfId="4" applyNumberFormat="1" applyFont="1" applyAlignment="1">
      <alignment horizontal="center" vertical="center" wrapText="1"/>
    </xf>
    <xf numFmtId="172" fontId="78" fillId="0" borderId="0" xfId="4" applyNumberFormat="1" applyFont="1" applyBorder="1" applyAlignment="1">
      <alignment horizontal="center" vertical="center" wrapText="1"/>
    </xf>
    <xf numFmtId="166" fontId="5" fillId="0" borderId="0" xfId="4" applyNumberFormat="1" applyFont="1" applyAlignment="1">
      <alignment horizontal="center" vertical="center" wrapText="1"/>
    </xf>
    <xf numFmtId="176" fontId="74" fillId="0" borderId="0" xfId="661" applyNumberFormat="1" applyFont="1" applyAlignment="1">
      <alignment horizontal="center" vertical="center" wrapText="1"/>
    </xf>
    <xf numFmtId="167" fontId="74" fillId="0" borderId="0" xfId="661" applyNumberFormat="1" applyFont="1" applyAlignment="1">
      <alignment horizontal="center" vertical="center" wrapText="1"/>
    </xf>
    <xf numFmtId="176" fontId="4" fillId="0" borderId="0" xfId="661" applyNumberFormat="1" applyFont="1" applyAlignment="1">
      <alignment horizontal="center" vertical="center" wrapText="1"/>
    </xf>
    <xf numFmtId="171" fontId="4" fillId="0" borderId="0" xfId="661" applyNumberFormat="1" applyFont="1" applyAlignment="1">
      <alignment horizontal="left" vertical="center" wrapText="1"/>
    </xf>
    <xf numFmtId="176" fontId="5" fillId="0" borderId="0" xfId="661" applyNumberFormat="1" applyFont="1" applyAlignment="1">
      <alignment horizontal="center" vertical="center" wrapText="1"/>
    </xf>
    <xf numFmtId="171" fontId="74" fillId="0" borderId="0" xfId="661" applyNumberFormat="1" applyFont="1" applyAlignment="1">
      <alignment horizontal="center" vertical="center" wrapText="1"/>
    </xf>
    <xf numFmtId="176" fontId="78" fillId="0" borderId="0" xfId="661" applyNumberFormat="1" applyFont="1" applyAlignment="1">
      <alignment horizontal="center" vertical="center" wrapText="1"/>
    </xf>
    <xf numFmtId="176" fontId="79" fillId="0" borderId="0" xfId="661" applyNumberFormat="1" applyFont="1" applyAlignment="1">
      <alignment horizontal="center" vertical="center" wrapText="1"/>
    </xf>
    <xf numFmtId="167" fontId="87" fillId="0" borderId="0" xfId="4" applyNumberFormat="1" applyFont="1" applyAlignment="1">
      <alignment horizontal="center" vertical="center" wrapText="1"/>
    </xf>
    <xf numFmtId="172" fontId="87" fillId="0" borderId="0" xfId="4" applyNumberFormat="1" applyFont="1" applyAlignment="1">
      <alignment horizontal="center" vertical="center" wrapText="1"/>
    </xf>
    <xf numFmtId="172" fontId="87" fillId="0" borderId="0" xfId="4" applyNumberFormat="1" applyFont="1" applyBorder="1" applyAlignment="1">
      <alignment horizontal="center" vertical="center" wrapText="1"/>
    </xf>
    <xf numFmtId="167" fontId="63" fillId="0" borderId="0" xfId="4" applyNumberFormat="1" applyFont="1" applyAlignment="1">
      <alignment horizontal="center" vertical="center" wrapText="1"/>
    </xf>
    <xf numFmtId="171" fontId="87" fillId="0" borderId="0" xfId="4" applyNumberFormat="1" applyFont="1" applyAlignment="1">
      <alignment horizontal="left" vertical="center" wrapText="1"/>
    </xf>
    <xf numFmtId="177" fontId="79" fillId="0" borderId="0" xfId="4" applyNumberFormat="1" applyFont="1" applyAlignment="1">
      <alignment horizontal="center" vertical="center" wrapText="1"/>
    </xf>
    <xf numFmtId="172" fontId="88" fillId="0" borderId="0" xfId="4" applyNumberFormat="1" applyFont="1" applyAlignment="1">
      <alignment horizontal="center" vertical="center" wrapText="1"/>
    </xf>
    <xf numFmtId="172" fontId="64" fillId="0" borderId="0" xfId="4" applyNumberFormat="1" applyFont="1" applyAlignment="1">
      <alignment horizontal="center" vertical="center" wrapText="1"/>
    </xf>
    <xf numFmtId="167" fontId="89" fillId="0" borderId="0" xfId="4" applyNumberFormat="1" applyFont="1" applyAlignment="1">
      <alignment horizontal="center" vertical="center" wrapText="1"/>
    </xf>
    <xf numFmtId="172" fontId="89" fillId="0" borderId="0" xfId="4" applyNumberFormat="1" applyFont="1" applyAlignment="1">
      <alignment horizontal="center" vertical="center" wrapText="1"/>
    </xf>
    <xf numFmtId="172" fontId="89" fillId="0" borderId="0" xfId="4" applyNumberFormat="1" applyFont="1" applyBorder="1" applyAlignment="1">
      <alignment horizontal="center" vertical="center" wrapText="1"/>
    </xf>
    <xf numFmtId="167" fontId="90" fillId="0" borderId="0" xfId="4" applyNumberFormat="1" applyFont="1" applyAlignment="1">
      <alignment horizontal="center" vertical="center" wrapText="1"/>
    </xf>
    <xf numFmtId="171" fontId="89" fillId="0" borderId="0" xfId="4" applyNumberFormat="1" applyFont="1" applyAlignment="1">
      <alignment horizontal="left" vertical="center" wrapText="1"/>
    </xf>
    <xf numFmtId="0" fontId="77" fillId="0" borderId="0" xfId="4" applyFont="1"/>
    <xf numFmtId="0" fontId="94" fillId="0" borderId="0" xfId="4" applyFont="1"/>
    <xf numFmtId="0" fontId="95" fillId="0" borderId="0" xfId="4" applyFont="1"/>
    <xf numFmtId="0" fontId="92" fillId="0" borderId="0" xfId="4" applyFont="1"/>
    <xf numFmtId="173" fontId="92" fillId="0" borderId="0" xfId="4" applyNumberFormat="1" applyFont="1"/>
    <xf numFmtId="0" fontId="73" fillId="30" borderId="0" xfId="4" applyFont="1" applyFill="1" applyBorder="1"/>
    <xf numFmtId="0" fontId="97" fillId="33" borderId="0" xfId="976" applyFont="1" applyFill="1" applyBorder="1" applyAlignment="1">
      <alignment horizontal="center" vertical="center" wrapText="1"/>
    </xf>
    <xf numFmtId="0" fontId="91" fillId="33" borderId="0" xfId="976" applyFont="1" applyFill="1" applyBorder="1" applyAlignment="1">
      <alignment horizontal="center" vertical="center" wrapText="1"/>
    </xf>
    <xf numFmtId="0" fontId="76" fillId="33" borderId="0" xfId="976" applyFont="1" applyFill="1" applyBorder="1" applyAlignment="1">
      <alignment horizontal="center" vertical="center" wrapText="1"/>
    </xf>
    <xf numFmtId="172" fontId="85" fillId="33" borderId="0" xfId="672" applyNumberFormat="1" applyFont="1" applyFill="1" applyBorder="1" applyAlignment="1">
      <alignment horizontal="center" vertical="center" wrapText="1"/>
    </xf>
    <xf numFmtId="0" fontId="73" fillId="33" borderId="0" xfId="1" applyFont="1" applyFill="1" applyBorder="1" applyAlignment="1">
      <alignment horizontal="center" vertical="center" wrapText="1"/>
    </xf>
    <xf numFmtId="173" fontId="73" fillId="33" borderId="0" xfId="976" applyNumberFormat="1" applyFont="1" applyFill="1" applyBorder="1" applyAlignment="1">
      <alignment horizontal="center" vertical="center" wrapText="1"/>
    </xf>
    <xf numFmtId="173" fontId="73" fillId="33" borderId="0" xfId="976" applyNumberFormat="1" applyFont="1" applyFill="1" applyBorder="1" applyAlignment="1">
      <alignment horizontal="right" vertical="center" wrapText="1"/>
    </xf>
    <xf numFmtId="173" fontId="73" fillId="30" borderId="0" xfId="4" applyNumberFormat="1" applyFont="1" applyFill="1" applyBorder="1"/>
    <xf numFmtId="175" fontId="73" fillId="30" borderId="0" xfId="4" applyNumberFormat="1" applyFont="1" applyFill="1" applyBorder="1"/>
    <xf numFmtId="0" fontId="76" fillId="30" borderId="0" xfId="4" applyFont="1" applyFill="1" applyBorder="1"/>
    <xf numFmtId="173" fontId="76" fillId="30" borderId="0" xfId="4" applyNumberFormat="1" applyFont="1" applyFill="1" applyBorder="1"/>
    <xf numFmtId="166" fontId="98" fillId="0" borderId="0" xfId="3" applyNumberFormat="1" applyFont="1" applyAlignment="1">
      <alignment horizontal="center" vertical="center" wrapText="1"/>
    </xf>
    <xf numFmtId="167" fontId="76" fillId="0" borderId="0" xfId="3" applyNumberFormat="1" applyFont="1" applyAlignment="1">
      <alignment horizontal="center" vertical="center" wrapText="1"/>
    </xf>
    <xf numFmtId="167" fontId="76" fillId="33" borderId="0" xfId="946" applyNumberFormat="1" applyFont="1" applyFill="1" applyBorder="1" applyAlignment="1">
      <alignment horizontal="center" vertical="center" wrapText="1" readingOrder="2"/>
    </xf>
    <xf numFmtId="166" fontId="99" fillId="0" borderId="0" xfId="3" applyNumberFormat="1" applyFont="1" applyAlignment="1">
      <alignment horizontal="center" vertical="center" wrapText="1"/>
    </xf>
    <xf numFmtId="178" fontId="5" fillId="0" borderId="0" xfId="3" applyNumberFormat="1" applyFont="1" applyAlignment="1">
      <alignment horizontal="center" vertical="center" wrapText="1"/>
    </xf>
    <xf numFmtId="4" fontId="5" fillId="0" borderId="0" xfId="3" applyNumberFormat="1" applyFont="1" applyAlignment="1">
      <alignment horizontal="center" vertical="center" wrapText="1"/>
    </xf>
    <xf numFmtId="166" fontId="76" fillId="33" borderId="0" xfId="946" applyNumberFormat="1" applyFont="1" applyFill="1" applyBorder="1" applyAlignment="1">
      <alignment horizontal="center" vertical="center" wrapText="1" readingOrder="2"/>
    </xf>
    <xf numFmtId="178" fontId="61" fillId="0" borderId="0" xfId="3" applyNumberFormat="1" applyFont="1" applyAlignment="1">
      <alignment horizontal="center" vertical="center" wrapText="1"/>
    </xf>
    <xf numFmtId="4" fontId="61" fillId="0" borderId="0" xfId="3" applyNumberFormat="1" applyFont="1" applyAlignment="1">
      <alignment horizontal="center" vertical="center" wrapText="1"/>
    </xf>
    <xf numFmtId="170" fontId="98" fillId="0" borderId="0" xfId="3" applyNumberFormat="1" applyFont="1" applyAlignment="1">
      <alignment horizontal="center" vertical="center" wrapText="1"/>
    </xf>
    <xf numFmtId="170" fontId="76" fillId="0" borderId="0" xfId="3" applyNumberFormat="1" applyFont="1" applyAlignment="1">
      <alignment horizontal="center" vertical="center" wrapText="1"/>
    </xf>
    <xf numFmtId="174" fontId="76" fillId="33" borderId="0" xfId="946" applyNumberFormat="1" applyFont="1" applyFill="1" applyBorder="1" applyAlignment="1">
      <alignment horizontal="center" vertical="center" wrapText="1" readingOrder="2"/>
    </xf>
    <xf numFmtId="167" fontId="98" fillId="0" borderId="0" xfId="3" applyNumberFormat="1" applyFont="1" applyAlignment="1">
      <alignment horizontal="center" vertical="center" wrapText="1"/>
    </xf>
    <xf numFmtId="166" fontId="98" fillId="33" borderId="0" xfId="946" applyNumberFormat="1" applyFont="1" applyFill="1" applyBorder="1" applyAlignment="1">
      <alignment horizontal="center" vertical="center" wrapText="1" readingOrder="2"/>
    </xf>
    <xf numFmtId="178" fontId="4" fillId="0" borderId="0" xfId="3" applyNumberFormat="1" applyFont="1" applyAlignment="1">
      <alignment horizontal="center" vertical="center" wrapText="1"/>
    </xf>
    <xf numFmtId="4" fontId="4" fillId="0" borderId="0" xfId="3" applyNumberFormat="1" applyFont="1" applyAlignment="1">
      <alignment horizontal="center" vertical="center" wrapText="1"/>
    </xf>
    <xf numFmtId="166" fontId="62" fillId="0" borderId="0" xfId="3" applyNumberFormat="1" applyFont="1" applyAlignment="1">
      <alignment horizontal="center" vertical="center" wrapText="1"/>
    </xf>
    <xf numFmtId="178" fontId="62" fillId="0" borderId="0" xfId="3" applyNumberFormat="1" applyFont="1" applyAlignment="1">
      <alignment horizontal="center" vertical="center" wrapText="1"/>
    </xf>
    <xf numFmtId="4" fontId="62" fillId="0" borderId="0" xfId="3" applyNumberFormat="1" applyFont="1" applyAlignment="1">
      <alignment horizontal="center" vertical="center" wrapText="1"/>
    </xf>
    <xf numFmtId="166" fontId="93" fillId="0" borderId="0" xfId="3" applyNumberFormat="1" applyFont="1" applyAlignment="1">
      <alignment horizontal="center" vertical="center" wrapText="1"/>
    </xf>
    <xf numFmtId="166" fontId="101" fillId="0" borderId="0" xfId="3" applyNumberFormat="1" applyFont="1" applyAlignment="1">
      <alignment horizontal="center" vertical="center" wrapText="1"/>
    </xf>
    <xf numFmtId="167" fontId="5" fillId="0" borderId="0" xfId="3" applyNumberFormat="1" applyFont="1" applyAlignment="1">
      <alignment horizontal="center" vertical="center" wrapText="1"/>
    </xf>
    <xf numFmtId="167" fontId="75" fillId="0" borderId="0" xfId="3" applyNumberFormat="1" applyFont="1" applyAlignment="1">
      <alignment horizontal="center" vertical="center" wrapText="1"/>
    </xf>
    <xf numFmtId="0" fontId="62" fillId="36" borderId="15" xfId="2" applyFont="1" applyFill="1" applyBorder="1" applyAlignment="1">
      <alignment horizontal="right"/>
    </xf>
    <xf numFmtId="177" fontId="62" fillId="36" borderId="15" xfId="2" applyNumberFormat="1" applyFont="1" applyFill="1" applyBorder="1" applyAlignment="1">
      <alignment vertical="center"/>
    </xf>
    <xf numFmtId="0" fontId="64" fillId="0" borderId="0" xfId="935" applyFont="1" applyAlignment="1">
      <alignment horizontal="center" vertical="center"/>
    </xf>
    <xf numFmtId="0" fontId="2" fillId="0" borderId="0" xfId="935" applyAlignment="1">
      <alignment horizontal="center" vertical="center"/>
    </xf>
    <xf numFmtId="0" fontId="2" fillId="0" borderId="0" xfId="935" applyBorder="1" applyAlignment="1">
      <alignment horizontal="center" vertical="center"/>
    </xf>
    <xf numFmtId="0" fontId="83" fillId="51" borderId="24" xfId="935" applyFont="1" applyFill="1" applyBorder="1" applyAlignment="1">
      <alignment horizontal="center" vertical="center" wrapText="1"/>
    </xf>
    <xf numFmtId="49" fontId="63" fillId="52" borderId="25" xfId="935" applyNumberFormat="1" applyFont="1" applyFill="1" applyBorder="1" applyAlignment="1">
      <alignment horizontal="center" vertical="center" wrapText="1" readingOrder="2"/>
    </xf>
    <xf numFmtId="49" fontId="63" fillId="52" borderId="26" xfId="935" applyNumberFormat="1" applyFont="1" applyFill="1" applyBorder="1" applyAlignment="1">
      <alignment horizontal="center" vertical="center" wrapText="1" readingOrder="2"/>
    </xf>
    <xf numFmtId="49" fontId="63" fillId="52" borderId="27" xfId="935" applyNumberFormat="1" applyFont="1" applyFill="1" applyBorder="1" applyAlignment="1">
      <alignment horizontal="center" vertical="center" wrapText="1" readingOrder="2"/>
    </xf>
    <xf numFmtId="0" fontId="115" fillId="0" borderId="0" xfId="935" applyFont="1" applyAlignment="1">
      <alignment horizontal="center" vertical="center"/>
    </xf>
    <xf numFmtId="0" fontId="92" fillId="0" borderId="0" xfId="935" applyFont="1" applyAlignment="1">
      <alignment horizontal="center" vertical="center"/>
    </xf>
    <xf numFmtId="2" fontId="94" fillId="0" borderId="0" xfId="935" applyNumberFormat="1" applyFont="1" applyAlignment="1">
      <alignment horizontal="center" vertical="center"/>
    </xf>
    <xf numFmtId="173" fontId="94" fillId="0" borderId="0" xfId="935" applyNumberFormat="1" applyFont="1" applyAlignment="1">
      <alignment horizontal="center" vertical="center"/>
    </xf>
    <xf numFmtId="173" fontId="92" fillId="0" borderId="0" xfId="935" applyNumberFormat="1" applyFont="1" applyAlignment="1">
      <alignment horizontal="center" vertical="center"/>
    </xf>
    <xf numFmtId="173" fontId="2" fillId="0" borderId="0" xfId="935" applyNumberFormat="1" applyAlignment="1">
      <alignment horizontal="center" vertical="center"/>
    </xf>
    <xf numFmtId="0" fontId="115" fillId="0" borderId="0" xfId="935" applyFont="1" applyAlignment="1">
      <alignment horizontal="right" vertical="center"/>
    </xf>
    <xf numFmtId="2" fontId="92" fillId="0" borderId="0" xfId="935" applyNumberFormat="1" applyFont="1" applyAlignment="1">
      <alignment horizontal="right" vertical="center"/>
    </xf>
    <xf numFmtId="0" fontId="92" fillId="0" borderId="0" xfId="935" applyFont="1" applyAlignment="1">
      <alignment horizontal="right" vertical="center"/>
    </xf>
    <xf numFmtId="0" fontId="5" fillId="0" borderId="0" xfId="935" applyFont="1" applyAlignment="1">
      <alignment horizontal="center" vertical="center"/>
    </xf>
    <xf numFmtId="0" fontId="80" fillId="0" borderId="0" xfId="935" applyFont="1" applyAlignment="1">
      <alignment horizontal="center" vertical="center"/>
    </xf>
    <xf numFmtId="0" fontId="119" fillId="58" borderId="29" xfId="935" applyFont="1" applyFill="1" applyBorder="1" applyAlignment="1">
      <alignment vertical="top" wrapText="1"/>
    </xf>
    <xf numFmtId="0" fontId="119" fillId="58" borderId="32" xfId="935" applyFont="1" applyFill="1" applyBorder="1" applyAlignment="1">
      <alignment vertical="top" wrapText="1"/>
    </xf>
    <xf numFmtId="0" fontId="120" fillId="58" borderId="32" xfId="935" applyFont="1" applyFill="1" applyBorder="1" applyAlignment="1">
      <alignment vertical="top" wrapText="1"/>
    </xf>
    <xf numFmtId="0" fontId="83" fillId="0" borderId="0" xfId="935" applyFont="1" applyAlignment="1">
      <alignment horizontal="center" vertical="center"/>
    </xf>
    <xf numFmtId="0" fontId="2" fillId="0" borderId="0" xfId="935" applyAlignment="1">
      <alignment horizontal="right" vertical="center"/>
    </xf>
    <xf numFmtId="49" fontId="63" fillId="52" borderId="0" xfId="935" applyNumberFormat="1" applyFont="1" applyFill="1" applyBorder="1" applyAlignment="1">
      <alignment horizontal="center" vertical="center" wrapText="1" readingOrder="2"/>
    </xf>
    <xf numFmtId="0" fontId="121" fillId="0" borderId="0" xfId="935" applyFont="1" applyAlignment="1">
      <alignment horizontal="right" vertical="center"/>
    </xf>
    <xf numFmtId="0" fontId="113" fillId="0" borderId="0" xfId="935" applyFont="1" applyAlignment="1">
      <alignment horizontal="right" vertical="center"/>
    </xf>
    <xf numFmtId="0" fontId="62" fillId="36" borderId="15" xfId="2" applyFont="1" applyFill="1" applyBorder="1" applyAlignment="1">
      <alignment horizontal="right" vertical="center"/>
    </xf>
    <xf numFmtId="0" fontId="0" fillId="0" borderId="0" xfId="0" applyAlignment="1">
      <alignment vertical="center"/>
    </xf>
    <xf numFmtId="167" fontId="6" fillId="0" borderId="0" xfId="1293" applyNumberFormat="1"/>
    <xf numFmtId="2" fontId="6" fillId="0" borderId="0" xfId="4" applyNumberFormat="1"/>
    <xf numFmtId="2" fontId="6" fillId="0" borderId="0" xfId="4" applyNumberFormat="1" applyAlignment="1">
      <alignment horizontal="center"/>
    </xf>
    <xf numFmtId="0" fontId="7" fillId="4" borderId="34" xfId="1" applyFont="1" applyFill="1" applyBorder="1" applyAlignment="1">
      <alignment horizontal="center" vertical="center" wrapText="1"/>
    </xf>
    <xf numFmtId="0" fontId="7" fillId="4" borderId="34" xfId="1" applyFont="1" applyFill="1" applyBorder="1" applyAlignment="1">
      <alignment horizontal="center" vertical="center" wrapText="1" readingOrder="2"/>
    </xf>
    <xf numFmtId="0" fontId="113" fillId="40" borderId="34" xfId="1" applyFont="1" applyFill="1" applyBorder="1" applyAlignment="1">
      <alignment horizontal="center" vertical="center" wrapText="1"/>
    </xf>
    <xf numFmtId="170" fontId="113" fillId="40" borderId="34" xfId="1" applyNumberFormat="1" applyFont="1" applyFill="1" applyBorder="1" applyAlignment="1">
      <alignment horizontal="center" vertical="center" wrapText="1"/>
    </xf>
    <xf numFmtId="0" fontId="62" fillId="28" borderId="34" xfId="976" applyFont="1" applyFill="1" applyBorder="1" applyAlignment="1">
      <alignment horizontal="center" vertical="center" wrapText="1"/>
    </xf>
    <xf numFmtId="172" fontId="5" fillId="28" borderId="34" xfId="1296" applyNumberFormat="1" applyFont="1" applyFill="1" applyBorder="1" applyAlignment="1">
      <alignment horizontal="center" vertical="center" wrapText="1"/>
    </xf>
    <xf numFmtId="0" fontId="5" fillId="28" borderId="34" xfId="976" applyFont="1" applyFill="1" applyBorder="1" applyAlignment="1">
      <alignment horizontal="center" vertical="center" wrapText="1"/>
    </xf>
    <xf numFmtId="2" fontId="9" fillId="41" borderId="34" xfId="976" applyNumberFormat="1" applyFont="1" applyFill="1" applyBorder="1" applyAlignment="1">
      <alignment horizontal="center" vertical="center" wrapText="1"/>
    </xf>
    <xf numFmtId="172" fontId="5" fillId="28" borderId="34" xfId="1297" applyNumberFormat="1" applyFont="1" applyFill="1" applyBorder="1" applyAlignment="1">
      <alignment horizontal="center" vertical="center" wrapText="1"/>
    </xf>
    <xf numFmtId="172" fontId="5" fillId="28" borderId="34" xfId="1298" applyNumberFormat="1" applyFont="1" applyFill="1" applyBorder="1" applyAlignment="1">
      <alignment horizontal="center" vertical="center" wrapText="1"/>
    </xf>
    <xf numFmtId="172" fontId="5" fillId="28" borderId="34" xfId="1299" applyNumberFormat="1" applyFont="1" applyFill="1" applyBorder="1" applyAlignment="1">
      <alignment horizontal="center" vertical="center" wrapText="1"/>
    </xf>
    <xf numFmtId="0" fontId="68" fillId="4" borderId="34" xfId="1" applyFont="1" applyFill="1" applyBorder="1" applyAlignment="1">
      <alignment horizontal="center" vertical="center" wrapText="1"/>
    </xf>
    <xf numFmtId="0" fontId="11" fillId="4" borderId="34" xfId="1" applyFont="1" applyFill="1" applyBorder="1" applyAlignment="1">
      <alignment horizontal="center" vertical="center" wrapText="1"/>
    </xf>
    <xf numFmtId="170" fontId="11" fillId="5" borderId="34" xfId="1" applyNumberFormat="1" applyFont="1" applyFill="1" applyBorder="1" applyAlignment="1">
      <alignment horizontal="center" vertical="center" wrapText="1"/>
    </xf>
    <xf numFmtId="166" fontId="12" fillId="5" borderId="34" xfId="1" applyNumberFormat="1" applyFont="1" applyFill="1" applyBorder="1" applyAlignment="1">
      <alignment horizontal="center" vertical="center" wrapText="1"/>
    </xf>
    <xf numFmtId="166" fontId="11" fillId="5" borderId="34" xfId="1" applyNumberFormat="1" applyFont="1" applyFill="1" applyBorder="1" applyAlignment="1">
      <alignment horizontal="center" vertical="center" wrapText="1"/>
    </xf>
    <xf numFmtId="170" fontId="12" fillId="5" borderId="34" xfId="1" applyNumberFormat="1" applyFont="1" applyFill="1" applyBorder="1" applyAlignment="1">
      <alignment horizontal="center" vertical="center" wrapText="1"/>
    </xf>
    <xf numFmtId="0" fontId="11" fillId="5" borderId="34" xfId="1" applyFont="1" applyFill="1" applyBorder="1" applyAlignment="1">
      <alignment horizontal="center" vertical="center" wrapText="1"/>
    </xf>
    <xf numFmtId="1" fontId="11" fillId="5" borderId="34" xfId="1" applyNumberFormat="1" applyFont="1" applyFill="1" applyBorder="1" applyAlignment="1">
      <alignment horizontal="center" vertical="center" wrapText="1"/>
    </xf>
    <xf numFmtId="173" fontId="72" fillId="4" borderId="34" xfId="1" applyNumberFormat="1" applyFont="1" applyFill="1" applyBorder="1" applyAlignment="1">
      <alignment horizontal="center" vertical="center" wrapText="1"/>
    </xf>
    <xf numFmtId="0" fontId="126" fillId="4" borderId="34" xfId="1294" applyFont="1" applyFill="1" applyBorder="1" applyAlignment="1" applyProtection="1">
      <alignment horizontal="right" vertical="center" wrapText="1" readingOrder="2"/>
    </xf>
    <xf numFmtId="0" fontId="127" fillId="5" borderId="34" xfId="1" applyFont="1" applyFill="1" applyBorder="1" applyAlignment="1">
      <alignment horizontal="center" vertical="center" wrapText="1"/>
    </xf>
    <xf numFmtId="166" fontId="64" fillId="60" borderId="34" xfId="2" applyNumberFormat="1" applyFont="1" applyFill="1" applyBorder="1" applyAlignment="1">
      <alignment horizontal="center" vertical="center"/>
    </xf>
    <xf numFmtId="173" fontId="127" fillId="5" borderId="34" xfId="1" applyNumberFormat="1" applyFont="1" applyFill="1" applyBorder="1" applyAlignment="1">
      <alignment horizontal="center" vertical="center" wrapText="1"/>
    </xf>
    <xf numFmtId="0" fontId="128" fillId="4" borderId="34" xfId="1294" applyFont="1" applyFill="1" applyBorder="1" applyAlignment="1" applyProtection="1">
      <alignment horizontal="right" vertical="center" wrapText="1" readingOrder="2"/>
    </xf>
    <xf numFmtId="0" fontId="129" fillId="59" borderId="0" xfId="1294" applyFont="1" applyFill="1" applyBorder="1" applyAlignment="1" applyProtection="1">
      <alignment horizontal="right" vertical="center" wrapText="1" readingOrder="2"/>
    </xf>
    <xf numFmtId="172" fontId="5" fillId="28" borderId="34" xfId="654" applyNumberFormat="1" applyFont="1" applyFill="1" applyBorder="1" applyAlignment="1">
      <alignment horizontal="center" vertical="center" wrapText="1"/>
    </xf>
    <xf numFmtId="172" fontId="80" fillId="28" borderId="34" xfId="654" applyNumberFormat="1" applyFont="1" applyFill="1" applyBorder="1" applyAlignment="1">
      <alignment horizontal="center" vertical="center" wrapText="1"/>
    </xf>
    <xf numFmtId="0" fontId="80" fillId="28" borderId="34" xfId="935" applyFont="1" applyFill="1" applyBorder="1" applyAlignment="1">
      <alignment horizontal="center" vertical="center" wrapText="1"/>
    </xf>
    <xf numFmtId="166" fontId="74" fillId="33" borderId="34" xfId="1033" applyNumberFormat="1" applyFont="1" applyFill="1" applyBorder="1" applyAlignment="1">
      <alignment horizontal="center" vertical="center"/>
    </xf>
    <xf numFmtId="166" fontId="74" fillId="33" borderId="34" xfId="1052" applyNumberFormat="1" applyFont="1" applyFill="1" applyBorder="1" applyAlignment="1">
      <alignment horizontal="center" vertical="center"/>
    </xf>
    <xf numFmtId="4" fontId="88" fillId="43" borderId="34" xfId="3" applyNumberFormat="1" applyFont="1" applyFill="1" applyBorder="1" applyAlignment="1">
      <alignment horizontal="center" vertical="center" wrapText="1"/>
    </xf>
    <xf numFmtId="166" fontId="5" fillId="39" borderId="34" xfId="3" applyNumberFormat="1" applyFont="1" applyFill="1" applyBorder="1" applyAlignment="1">
      <alignment horizontal="center" vertical="center" wrapText="1"/>
    </xf>
    <xf numFmtId="166" fontId="64" fillId="43" borderId="34" xfId="3" applyNumberFormat="1" applyFont="1" applyFill="1" applyBorder="1" applyAlignment="1">
      <alignment horizontal="center" vertical="center" wrapText="1"/>
    </xf>
    <xf numFmtId="178" fontId="98" fillId="44" borderId="34" xfId="951" applyNumberFormat="1" applyFont="1" applyFill="1" applyBorder="1" applyAlignment="1">
      <alignment horizontal="center" vertical="center" wrapText="1" readingOrder="2"/>
    </xf>
    <xf numFmtId="3" fontId="98" fillId="44" borderId="34" xfId="951" applyNumberFormat="1" applyFont="1" applyFill="1" applyBorder="1" applyAlignment="1">
      <alignment horizontal="center" vertical="center" wrapText="1" readingOrder="2"/>
    </xf>
    <xf numFmtId="166" fontId="88" fillId="44" borderId="34" xfId="3" applyNumberFormat="1" applyFont="1" applyFill="1" applyBorder="1" applyAlignment="1">
      <alignment horizontal="center" vertical="center" wrapText="1"/>
    </xf>
    <xf numFmtId="166" fontId="98" fillId="44" borderId="34" xfId="3" applyNumberFormat="1" applyFont="1" applyFill="1" applyBorder="1" applyAlignment="1">
      <alignment horizontal="center" vertical="center" wrapText="1"/>
    </xf>
    <xf numFmtId="166" fontId="98" fillId="45" borderId="34" xfId="946" applyNumberFormat="1" applyFont="1" applyFill="1" applyBorder="1" applyAlignment="1">
      <alignment horizontal="center" vertical="center" wrapText="1" readingOrder="2"/>
    </xf>
    <xf numFmtId="166" fontId="98" fillId="45" borderId="34" xfId="3" applyNumberFormat="1" applyFont="1" applyFill="1" applyBorder="1" applyAlignment="1">
      <alignment horizontal="center" vertical="center" wrapText="1"/>
    </xf>
    <xf numFmtId="0" fontId="103" fillId="48" borderId="34" xfId="935" applyFont="1" applyFill="1" applyBorder="1" applyAlignment="1">
      <alignment horizontal="center" vertical="center" wrapText="1"/>
    </xf>
    <xf numFmtId="0" fontId="104" fillId="47" borderId="34" xfId="935" applyFont="1" applyFill="1" applyBorder="1" applyAlignment="1">
      <alignment horizontal="center" vertical="center" wrapText="1"/>
    </xf>
    <xf numFmtId="0" fontId="105" fillId="47" borderId="34" xfId="935" applyFont="1" applyFill="1" applyBorder="1" applyAlignment="1">
      <alignment horizontal="center" vertical="center" wrapText="1"/>
    </xf>
    <xf numFmtId="0" fontId="62" fillId="49" borderId="34" xfId="1294" applyFont="1" applyFill="1" applyBorder="1" applyAlignment="1" applyProtection="1">
      <alignment horizontal="center" vertical="center" wrapText="1" readingOrder="2"/>
    </xf>
    <xf numFmtId="166" fontId="62" fillId="33" borderId="34" xfId="1052" applyNumberFormat="1" applyFont="1" applyFill="1" applyBorder="1" applyAlignment="1">
      <alignment horizontal="center" vertical="center"/>
    </xf>
    <xf numFmtId="0" fontId="83" fillId="51" borderId="34" xfId="935" applyFont="1" applyFill="1" applyBorder="1" applyAlignment="1">
      <alignment horizontal="center" vertical="center" wrapText="1"/>
    </xf>
    <xf numFmtId="0" fontId="80" fillId="51" borderId="34" xfId="935" applyFont="1" applyFill="1" applyBorder="1" applyAlignment="1">
      <alignment horizontal="center" vertical="center" wrapText="1"/>
    </xf>
    <xf numFmtId="0" fontId="5" fillId="51" borderId="34" xfId="935" applyFont="1" applyFill="1" applyBorder="1" applyAlignment="1">
      <alignment horizontal="center" vertical="center" wrapText="1"/>
    </xf>
    <xf numFmtId="49" fontId="63" fillId="52" borderId="34" xfId="935" applyNumberFormat="1" applyFont="1" applyFill="1" applyBorder="1" applyAlignment="1">
      <alignment horizontal="center" vertical="center" wrapText="1" readingOrder="2"/>
    </xf>
    <xf numFmtId="0" fontId="63" fillId="52" borderId="34" xfId="935" applyFont="1" applyFill="1" applyBorder="1" applyAlignment="1">
      <alignment horizontal="center" vertical="center" wrapText="1" readingOrder="2"/>
    </xf>
    <xf numFmtId="0" fontId="70" fillId="52" borderId="34" xfId="1294" applyFont="1" applyFill="1" applyBorder="1" applyAlignment="1" applyProtection="1">
      <alignment horizontal="center" vertical="center" wrapText="1" readingOrder="2"/>
    </xf>
    <xf numFmtId="2" fontId="107" fillId="52" borderId="34" xfId="1294" applyNumberFormat="1" applyFont="1" applyFill="1" applyBorder="1" applyAlignment="1" applyProtection="1">
      <alignment horizontal="center" vertical="center" wrapText="1" readingOrder="2"/>
    </xf>
    <xf numFmtId="0" fontId="107" fillId="52" borderId="34" xfId="1294" applyFont="1" applyFill="1" applyBorder="1" applyAlignment="1" applyProtection="1">
      <alignment horizontal="center" vertical="center" wrapText="1" readingOrder="2"/>
    </xf>
    <xf numFmtId="166" fontId="80" fillId="39" borderId="38" xfId="3" applyNumberFormat="1" applyFont="1" applyFill="1" applyBorder="1" applyAlignment="1">
      <alignment horizontal="center" vertical="top" wrapText="1"/>
    </xf>
    <xf numFmtId="167" fontId="75" fillId="39" borderId="40" xfId="3" applyNumberFormat="1" applyFont="1" applyFill="1" applyBorder="1" applyAlignment="1">
      <alignment horizontal="center" vertical="center" wrapText="1"/>
    </xf>
    <xf numFmtId="166" fontId="64" fillId="43" borderId="34" xfId="3" applyNumberFormat="1" applyFont="1" applyFill="1" applyBorder="1" applyAlignment="1">
      <alignment horizontal="center" vertical="center" wrapText="1"/>
    </xf>
    <xf numFmtId="172" fontId="5" fillId="28" borderId="34" xfId="665" applyNumberFormat="1" applyFont="1" applyFill="1" applyBorder="1" applyAlignment="1">
      <alignment horizontal="center" vertical="center" wrapText="1"/>
    </xf>
    <xf numFmtId="172" fontId="80" fillId="28" borderId="34" xfId="665" applyNumberFormat="1" applyFont="1" applyFill="1" applyBorder="1" applyAlignment="1">
      <alignment horizontal="center" vertical="center" wrapText="1"/>
    </xf>
    <xf numFmtId="167" fontId="75" fillId="39" borderId="17" xfId="3" applyNumberFormat="1" applyFont="1" applyFill="1" applyBorder="1" applyAlignment="1">
      <alignment horizontal="center" vertical="center" wrapText="1"/>
    </xf>
    <xf numFmtId="166" fontId="80" fillId="39" borderId="17" xfId="3" applyNumberFormat="1" applyFont="1" applyFill="1" applyBorder="1" applyAlignment="1">
      <alignment horizontal="center" vertical="top" wrapText="1"/>
    </xf>
    <xf numFmtId="166" fontId="64" fillId="44" borderId="34" xfId="3" applyNumberFormat="1" applyFont="1" applyFill="1" applyBorder="1" applyAlignment="1">
      <alignment horizontal="center" vertical="center" wrapText="1"/>
    </xf>
    <xf numFmtId="166" fontId="74" fillId="44" borderId="34" xfId="3" applyNumberFormat="1" applyFont="1" applyFill="1" applyBorder="1" applyAlignment="1">
      <alignment horizontal="center" vertical="center" wrapText="1"/>
    </xf>
    <xf numFmtId="167" fontId="98" fillId="45" borderId="34" xfId="946" applyNumberFormat="1" applyFont="1" applyFill="1" applyBorder="1" applyAlignment="1">
      <alignment horizontal="center" vertical="center" wrapText="1" readingOrder="2"/>
    </xf>
    <xf numFmtId="0" fontId="63" fillId="49" borderId="34" xfId="1294" applyFont="1" applyFill="1" applyBorder="1" applyAlignment="1" applyProtection="1">
      <alignment horizontal="center" vertical="center" wrapText="1" readingOrder="2"/>
    </xf>
    <xf numFmtId="0" fontId="71" fillId="52" borderId="34" xfId="1294" applyFont="1" applyFill="1" applyBorder="1" applyAlignment="1" applyProtection="1">
      <alignment horizontal="center" vertical="center" wrapText="1" readingOrder="2"/>
    </xf>
    <xf numFmtId="173" fontId="62" fillId="52" borderId="34" xfId="935" applyNumberFormat="1" applyFont="1" applyFill="1" applyBorder="1" applyAlignment="1">
      <alignment horizontal="center" vertical="center" wrapText="1" readingOrder="2"/>
    </xf>
    <xf numFmtId="1" fontId="62" fillId="52" borderId="34" xfId="935" applyNumberFormat="1" applyFont="1" applyFill="1" applyBorder="1" applyAlignment="1">
      <alignment horizontal="center" vertical="center" wrapText="1" readingOrder="2"/>
    </xf>
    <xf numFmtId="170" fontId="88" fillId="44" borderId="34" xfId="3" applyNumberFormat="1" applyFont="1" applyFill="1" applyBorder="1" applyAlignment="1">
      <alignment horizontal="center" vertical="center" wrapText="1"/>
    </xf>
    <xf numFmtId="170" fontId="98" fillId="44" borderId="34" xfId="3" applyNumberFormat="1" applyFont="1" applyFill="1" applyBorder="1" applyAlignment="1">
      <alignment horizontal="center" vertical="center" wrapText="1"/>
    </xf>
    <xf numFmtId="170" fontId="64" fillId="44" borderId="34" xfId="3" applyNumberFormat="1" applyFont="1" applyFill="1" applyBorder="1" applyAlignment="1">
      <alignment horizontal="center" vertical="center" wrapText="1"/>
    </xf>
    <xf numFmtId="170" fontId="74" fillId="44" borderId="34" xfId="3" applyNumberFormat="1" applyFont="1" applyFill="1" applyBorder="1" applyAlignment="1">
      <alignment horizontal="center" vertical="center" wrapText="1"/>
    </xf>
    <xf numFmtId="167" fontId="74" fillId="45" borderId="34" xfId="946" applyNumberFormat="1" applyFont="1" applyFill="1" applyBorder="1" applyAlignment="1">
      <alignment horizontal="center" vertical="center" wrapText="1" readingOrder="2"/>
    </xf>
    <xf numFmtId="166" fontId="74" fillId="45" borderId="34" xfId="946" applyNumberFormat="1" applyFont="1" applyFill="1" applyBorder="1" applyAlignment="1">
      <alignment horizontal="center" vertical="center" wrapText="1" readingOrder="2"/>
    </xf>
    <xf numFmtId="166" fontId="64" fillId="43" borderId="34" xfId="3" applyNumberFormat="1" applyFont="1" applyFill="1" applyBorder="1" applyAlignment="1">
      <alignment horizontal="center" vertical="center" wrapText="1"/>
    </xf>
    <xf numFmtId="172" fontId="5" fillId="28" borderId="34" xfId="665" applyNumberFormat="1" applyFont="1" applyFill="1" applyBorder="1" applyAlignment="1">
      <alignment horizontal="center" vertical="center" wrapText="1"/>
    </xf>
    <xf numFmtId="172" fontId="80" fillId="28" borderId="34" xfId="665" applyNumberFormat="1" applyFont="1" applyFill="1" applyBorder="1" applyAlignment="1">
      <alignment horizontal="center" vertical="center" wrapText="1"/>
    </xf>
    <xf numFmtId="0" fontId="62" fillId="49" borderId="34" xfId="935" applyFont="1" applyFill="1" applyBorder="1" applyAlignment="1">
      <alignment horizontal="center" vertical="center" wrapText="1" readingOrder="2"/>
    </xf>
    <xf numFmtId="49" fontId="62" fillId="48" borderId="34" xfId="935" applyNumberFormat="1" applyFont="1" applyFill="1" applyBorder="1" applyAlignment="1">
      <alignment horizontal="center" vertical="center" wrapText="1" readingOrder="2"/>
    </xf>
    <xf numFmtId="49" fontId="63" fillId="52" borderId="34" xfId="935" applyNumberFormat="1" applyFont="1" applyFill="1" applyBorder="1" applyAlignment="1">
      <alignment horizontal="center" vertical="center" wrapText="1" readingOrder="2"/>
    </xf>
    <xf numFmtId="0" fontId="116" fillId="57" borderId="34" xfId="2" applyFont="1" applyFill="1" applyBorder="1" applyAlignment="1">
      <alignment horizontal="center" vertical="center" wrapText="1"/>
    </xf>
    <xf numFmtId="0" fontId="71" fillId="52" borderId="34" xfId="1294" applyFont="1" applyFill="1" applyBorder="1" applyAlignment="1" applyProtection="1">
      <alignment horizontal="center" vertical="center" wrapText="1" readingOrder="2"/>
    </xf>
    <xf numFmtId="166" fontId="64" fillId="43" borderId="34" xfId="3" applyNumberFormat="1" applyFont="1" applyFill="1" applyBorder="1" applyAlignment="1">
      <alignment horizontal="center" vertical="center" wrapText="1"/>
    </xf>
    <xf numFmtId="49" fontId="63" fillId="52" borderId="34" xfId="935" applyNumberFormat="1" applyFont="1" applyFill="1" applyBorder="1" applyAlignment="1">
      <alignment horizontal="center" vertical="center" wrapText="1" readingOrder="2"/>
    </xf>
    <xf numFmtId="0" fontId="62" fillId="52" borderId="34" xfId="935" applyFont="1" applyFill="1" applyBorder="1" applyAlignment="1">
      <alignment horizontal="center" vertical="center" wrapText="1" readingOrder="2"/>
    </xf>
    <xf numFmtId="1" fontId="63" fillId="52" borderId="34" xfId="935" applyNumberFormat="1" applyFont="1" applyFill="1" applyBorder="1" applyAlignment="1">
      <alignment horizontal="center" vertical="center" wrapText="1" readingOrder="2"/>
    </xf>
    <xf numFmtId="167" fontId="75" fillId="39" borderId="34" xfId="3" applyNumberFormat="1" applyFont="1" applyFill="1" applyBorder="1" applyAlignment="1">
      <alignment horizontal="center" vertical="center" wrapText="1"/>
    </xf>
    <xf numFmtId="166" fontId="80" fillId="39" borderId="34" xfId="3" applyNumberFormat="1" applyFont="1" applyFill="1" applyBorder="1" applyAlignment="1">
      <alignment horizontal="center" vertical="top" wrapText="1"/>
    </xf>
    <xf numFmtId="172" fontId="85" fillId="28" borderId="34" xfId="665" applyNumberFormat="1" applyFont="1" applyFill="1" applyBorder="1" applyAlignment="1">
      <alignment horizontal="center" vertical="center" wrapText="1"/>
    </xf>
    <xf numFmtId="178" fontId="74" fillId="46" borderId="34" xfId="951" applyNumberFormat="1" applyFont="1" applyFill="1" applyBorder="1" applyAlignment="1">
      <alignment horizontal="center" vertical="center" wrapText="1" readingOrder="2"/>
    </xf>
    <xf numFmtId="3" fontId="74" fillId="46" borderId="34" xfId="951" applyNumberFormat="1" applyFont="1" applyFill="1" applyBorder="1" applyAlignment="1">
      <alignment horizontal="center" vertical="center" wrapText="1" readingOrder="2"/>
    </xf>
    <xf numFmtId="166" fontId="64" fillId="46" borderId="34" xfId="3" applyNumberFormat="1" applyFont="1" applyFill="1" applyBorder="1" applyAlignment="1">
      <alignment horizontal="center" vertical="center" wrapText="1"/>
    </xf>
    <xf numFmtId="166" fontId="74" fillId="46" borderId="34" xfId="3" applyNumberFormat="1" applyFont="1" applyFill="1" applyBorder="1" applyAlignment="1">
      <alignment horizontal="center" vertical="center" wrapText="1"/>
    </xf>
    <xf numFmtId="0" fontId="83" fillId="51" borderId="34" xfId="935" applyFont="1" applyFill="1" applyBorder="1" applyAlignment="1">
      <alignment horizontal="center" vertical="center" wrapText="1"/>
    </xf>
    <xf numFmtId="0" fontId="63" fillId="52" borderId="34" xfId="935" applyFont="1" applyFill="1" applyBorder="1" applyAlignment="1">
      <alignment horizontal="center" vertical="center" wrapText="1" readingOrder="2"/>
    </xf>
    <xf numFmtId="178" fontId="74" fillId="44" borderId="34" xfId="951" applyNumberFormat="1" applyFont="1" applyFill="1" applyBorder="1" applyAlignment="1">
      <alignment horizontal="center" vertical="center" wrapText="1" readingOrder="2"/>
    </xf>
    <xf numFmtId="3" fontId="74" fillId="44" borderId="34" xfId="951" applyNumberFormat="1" applyFont="1" applyFill="1" applyBorder="1" applyAlignment="1">
      <alignment horizontal="center" vertical="center" wrapText="1" readingOrder="2"/>
    </xf>
    <xf numFmtId="167" fontId="98" fillId="45" borderId="34" xfId="3" applyNumberFormat="1" applyFont="1" applyFill="1" applyBorder="1" applyAlignment="1">
      <alignment horizontal="center" vertical="center" wrapText="1"/>
    </xf>
    <xf numFmtId="49" fontId="62" fillId="52" borderId="34" xfId="935" applyNumberFormat="1" applyFont="1" applyFill="1" applyBorder="1" applyAlignment="1">
      <alignment horizontal="center" vertical="center" wrapText="1" readingOrder="2"/>
    </xf>
    <xf numFmtId="172" fontId="5" fillId="28" borderId="34" xfId="661" applyNumberFormat="1" applyFont="1" applyFill="1" applyBorder="1" applyAlignment="1">
      <alignment horizontal="center" vertical="center" wrapText="1"/>
    </xf>
    <xf numFmtId="172" fontId="80" fillId="28" borderId="34" xfId="661" applyNumberFormat="1" applyFont="1" applyFill="1" applyBorder="1" applyAlignment="1">
      <alignment horizontal="center" vertical="center" wrapText="1"/>
    </xf>
    <xf numFmtId="167" fontId="74" fillId="33" borderId="34" xfId="1033" applyNumberFormat="1" applyFont="1" applyFill="1" applyBorder="1" applyAlignment="1">
      <alignment horizontal="center" vertical="center"/>
    </xf>
    <xf numFmtId="167" fontId="74" fillId="33" borderId="34" xfId="1052" applyNumberFormat="1" applyFont="1" applyFill="1" applyBorder="1" applyAlignment="1">
      <alignment horizontal="center" vertical="center"/>
    </xf>
    <xf numFmtId="172" fontId="80" fillId="28" borderId="34" xfId="661" applyNumberFormat="1" applyFont="1" applyFill="1" applyBorder="1" applyAlignment="1">
      <alignment horizontal="center" vertical="center" wrapText="1"/>
    </xf>
    <xf numFmtId="166" fontId="64" fillId="43" borderId="34" xfId="3" applyNumberFormat="1" applyFont="1" applyFill="1" applyBorder="1" applyAlignment="1">
      <alignment horizontal="center" vertical="center" wrapText="1"/>
    </xf>
    <xf numFmtId="0" fontId="62" fillId="49" borderId="34" xfId="935" applyFont="1" applyFill="1" applyBorder="1" applyAlignment="1">
      <alignment horizontal="center" vertical="center" wrapText="1" readingOrder="2"/>
    </xf>
    <xf numFmtId="49" fontId="62" fillId="48" borderId="34" xfId="935" applyNumberFormat="1" applyFont="1" applyFill="1" applyBorder="1" applyAlignment="1">
      <alignment horizontal="center" vertical="center" wrapText="1" readingOrder="2"/>
    </xf>
    <xf numFmtId="49" fontId="63" fillId="52" borderId="34" xfId="935" applyNumberFormat="1" applyFont="1" applyFill="1" applyBorder="1" applyAlignment="1">
      <alignment horizontal="center" vertical="center" wrapText="1" readingOrder="2"/>
    </xf>
    <xf numFmtId="0" fontId="0" fillId="50" borderId="43" xfId="0" applyFill="1" applyBorder="1" applyAlignment="1">
      <alignment horizontal="center"/>
    </xf>
    <xf numFmtId="0" fontId="0" fillId="50" borderId="44" xfId="0" applyFill="1" applyBorder="1" applyAlignment="1">
      <alignment horizontal="center"/>
    </xf>
    <xf numFmtId="0" fontId="63" fillId="49" borderId="34" xfId="935" applyFont="1" applyFill="1" applyBorder="1" applyAlignment="1">
      <alignment horizontal="center" vertical="center" wrapText="1" readingOrder="2"/>
    </xf>
    <xf numFmtId="0" fontId="83" fillId="51" borderId="34" xfId="935" applyFont="1" applyFill="1" applyBorder="1" applyAlignment="1">
      <alignment horizontal="center" vertical="center" wrapText="1"/>
    </xf>
    <xf numFmtId="0" fontId="63" fillId="52" borderId="34" xfId="935" applyFont="1" applyFill="1" applyBorder="1" applyAlignment="1">
      <alignment horizontal="center" vertical="center" wrapText="1" readingOrder="2"/>
    </xf>
    <xf numFmtId="172" fontId="5" fillId="28" borderId="34" xfId="661" applyNumberFormat="1" applyFont="1" applyFill="1" applyBorder="1" applyAlignment="1">
      <alignment horizontal="center" vertical="center" wrapText="1"/>
    </xf>
    <xf numFmtId="172" fontId="80" fillId="28" borderId="34" xfId="661" applyNumberFormat="1" applyFont="1" applyFill="1" applyBorder="1" applyAlignment="1">
      <alignment horizontal="center" vertical="center" wrapText="1"/>
    </xf>
    <xf numFmtId="0" fontId="63" fillId="52" borderId="34" xfId="1294" applyFont="1" applyFill="1" applyBorder="1" applyAlignment="1" applyProtection="1">
      <alignment horizontal="center" vertical="center" wrapText="1" readingOrder="2"/>
    </xf>
    <xf numFmtId="1" fontId="63" fillId="52" borderId="34" xfId="1294" applyNumberFormat="1" applyFont="1" applyFill="1" applyBorder="1" applyAlignment="1" applyProtection="1">
      <alignment horizontal="center" vertical="center" wrapText="1" readingOrder="2"/>
    </xf>
    <xf numFmtId="166" fontId="80" fillId="51" borderId="34" xfId="935" applyNumberFormat="1" applyFont="1" applyFill="1" applyBorder="1" applyAlignment="1">
      <alignment horizontal="center" vertical="center" wrapText="1"/>
    </xf>
    <xf numFmtId="1" fontId="70" fillId="52" borderId="34" xfId="1294" applyNumberFormat="1" applyFont="1" applyFill="1" applyBorder="1" applyAlignment="1" applyProtection="1">
      <alignment horizontal="center" vertical="center" wrapText="1" readingOrder="2"/>
    </xf>
    <xf numFmtId="9" fontId="70" fillId="52" borderId="34" xfId="1294" applyNumberFormat="1" applyFont="1" applyFill="1" applyBorder="1" applyAlignment="1" applyProtection="1">
      <alignment horizontal="center" vertical="center" wrapText="1" readingOrder="2"/>
    </xf>
    <xf numFmtId="166" fontId="70" fillId="52" borderId="34" xfId="1294" applyNumberFormat="1" applyFont="1" applyFill="1" applyBorder="1" applyAlignment="1" applyProtection="1">
      <alignment horizontal="center" vertical="center" wrapText="1" readingOrder="2"/>
    </xf>
    <xf numFmtId="167" fontId="88" fillId="44" borderId="34" xfId="3" applyNumberFormat="1" applyFont="1" applyFill="1" applyBorder="1" applyAlignment="1">
      <alignment horizontal="center" vertical="center" wrapText="1"/>
    </xf>
    <xf numFmtId="167" fontId="98" fillId="44" borderId="34" xfId="3" applyNumberFormat="1" applyFont="1" applyFill="1" applyBorder="1" applyAlignment="1">
      <alignment horizontal="center" vertical="center" wrapText="1"/>
    </xf>
    <xf numFmtId="170" fontId="98" fillId="45" borderId="34" xfId="3" applyNumberFormat="1" applyFont="1" applyFill="1" applyBorder="1" applyAlignment="1">
      <alignment horizontal="center" vertical="center" wrapText="1"/>
    </xf>
    <xf numFmtId="180" fontId="98" fillId="44" borderId="34" xfId="951" applyNumberFormat="1" applyFont="1" applyFill="1" applyBorder="1" applyAlignment="1">
      <alignment horizontal="center" vertical="center" wrapText="1" readingOrder="2"/>
    </xf>
    <xf numFmtId="166" fontId="63" fillId="33" borderId="34" xfId="1052" applyNumberFormat="1" applyFont="1" applyFill="1" applyBorder="1" applyAlignment="1">
      <alignment horizontal="center" vertical="center"/>
    </xf>
    <xf numFmtId="0" fontId="112" fillId="52" borderId="34" xfId="1294" applyFont="1" applyFill="1" applyBorder="1" applyAlignment="1" applyProtection="1">
      <alignment horizontal="center" vertical="center" wrapText="1" readingOrder="2"/>
    </xf>
    <xf numFmtId="0" fontId="64" fillId="51" borderId="34" xfId="935" applyFont="1" applyFill="1" applyBorder="1" applyAlignment="1">
      <alignment horizontal="center" vertical="center" textRotation="90" wrapText="1"/>
    </xf>
    <xf numFmtId="0" fontId="108" fillId="51" borderId="34" xfId="935" applyFont="1" applyFill="1" applyBorder="1" applyAlignment="1">
      <alignment horizontal="center" vertical="center" textRotation="90" wrapText="1"/>
    </xf>
    <xf numFmtId="0" fontId="64" fillId="51" borderId="34" xfId="935" applyFont="1" applyFill="1" applyBorder="1" applyAlignment="1">
      <alignment horizontal="center" vertical="center" wrapText="1"/>
    </xf>
    <xf numFmtId="179" fontId="98" fillId="45" borderId="34" xfId="3" applyNumberFormat="1" applyFont="1" applyFill="1" applyBorder="1" applyAlignment="1">
      <alignment horizontal="center" vertical="center" wrapText="1"/>
    </xf>
    <xf numFmtId="1" fontId="107" fillId="52" borderId="34" xfId="1294" applyNumberFormat="1" applyFont="1" applyFill="1" applyBorder="1" applyAlignment="1" applyProtection="1">
      <alignment horizontal="center" vertical="center" wrapText="1" readingOrder="2"/>
    </xf>
    <xf numFmtId="49" fontId="63" fillId="52" borderId="34" xfId="935" applyNumberFormat="1" applyFont="1" applyFill="1" applyBorder="1" applyAlignment="1">
      <alignment vertical="center" wrapText="1" readingOrder="2"/>
    </xf>
    <xf numFmtId="170" fontId="101" fillId="0" borderId="0" xfId="3" applyNumberFormat="1" applyFont="1" applyAlignment="1">
      <alignment horizontal="center" vertical="center" wrapText="1"/>
    </xf>
    <xf numFmtId="166" fontId="101" fillId="33" borderId="0" xfId="946" applyNumberFormat="1" applyFont="1" applyFill="1" applyBorder="1" applyAlignment="1">
      <alignment horizontal="center" vertical="center" wrapText="1" readingOrder="2"/>
    </xf>
    <xf numFmtId="0" fontId="135" fillId="58" borderId="32" xfId="935" applyFont="1" applyFill="1" applyBorder="1" applyAlignment="1">
      <alignment vertical="top" wrapText="1"/>
    </xf>
    <xf numFmtId="0" fontId="135" fillId="58" borderId="32" xfId="935" applyFont="1" applyFill="1" applyBorder="1" applyAlignment="1">
      <alignment horizontal="right" vertical="top" wrapText="1"/>
    </xf>
    <xf numFmtId="0" fontId="64" fillId="0" borderId="0" xfId="935" applyFont="1" applyAlignment="1">
      <alignment horizontal="right" vertical="center"/>
    </xf>
    <xf numFmtId="1" fontId="6" fillId="0" borderId="0" xfId="1293" applyNumberFormat="1"/>
    <xf numFmtId="0" fontId="64" fillId="51" borderId="34" xfId="935" applyFont="1" applyFill="1" applyBorder="1" applyAlignment="1">
      <alignment horizontal="center" vertical="center" textRotation="90" wrapText="1"/>
    </xf>
    <xf numFmtId="0" fontId="2" fillId="0" borderId="0" xfId="935" applyAlignment="1">
      <alignment horizontal="center" vertical="center"/>
    </xf>
    <xf numFmtId="0" fontId="64" fillId="51" borderId="34" xfId="935" applyFont="1" applyFill="1" applyBorder="1" applyAlignment="1">
      <alignment horizontal="center" vertical="center" textRotation="90" wrapText="1"/>
    </xf>
    <xf numFmtId="0" fontId="2" fillId="0" borderId="0" xfId="935" applyAlignment="1">
      <alignment horizontal="center" vertical="center"/>
    </xf>
    <xf numFmtId="0" fontId="64" fillId="51" borderId="64" xfId="935" applyFont="1" applyFill="1" applyBorder="1" applyAlignment="1">
      <alignment horizontal="center" vertical="center" textRotation="90" wrapText="1"/>
    </xf>
    <xf numFmtId="0" fontId="64" fillId="51" borderId="52" xfId="935" applyFont="1" applyFill="1" applyBorder="1" applyAlignment="1">
      <alignment horizontal="center" vertical="center" textRotation="90" wrapText="1"/>
    </xf>
    <xf numFmtId="0" fontId="107" fillId="52" borderId="53" xfId="1294" applyFont="1" applyFill="1" applyBorder="1" applyAlignment="1" applyProtection="1">
      <alignment horizontal="center" vertical="center" wrapText="1" readingOrder="2"/>
    </xf>
    <xf numFmtId="0" fontId="107" fillId="52" borderId="54" xfId="1294" applyFont="1" applyFill="1" applyBorder="1" applyAlignment="1" applyProtection="1">
      <alignment horizontal="center" vertical="center" wrapText="1" readingOrder="2"/>
    </xf>
    <xf numFmtId="0" fontId="107" fillId="52" borderId="55" xfId="1294" applyFont="1" applyFill="1" applyBorder="1" applyAlignment="1" applyProtection="1">
      <alignment horizontal="center" vertical="center" wrapText="1" readingOrder="2"/>
    </xf>
    <xf numFmtId="0" fontId="112" fillId="52" borderId="55" xfId="1294" applyFont="1" applyFill="1" applyBorder="1" applyAlignment="1" applyProtection="1">
      <alignment horizontal="center" vertical="center" wrapText="1" readingOrder="2"/>
    </xf>
    <xf numFmtId="0" fontId="63" fillId="52" borderId="55" xfId="1294" applyFont="1" applyFill="1" applyBorder="1" applyAlignment="1" applyProtection="1">
      <alignment horizontal="center" vertical="center" wrapText="1" readingOrder="2"/>
    </xf>
    <xf numFmtId="49" fontId="63" fillId="52" borderId="53" xfId="935" applyNumberFormat="1" applyFont="1" applyFill="1" applyBorder="1" applyAlignment="1">
      <alignment horizontal="center" vertical="center" wrapText="1" readingOrder="2"/>
    </xf>
    <xf numFmtId="0" fontId="63" fillId="52" borderId="54" xfId="935" applyFont="1" applyFill="1" applyBorder="1" applyAlignment="1">
      <alignment horizontal="center" vertical="center" wrapText="1" readingOrder="2"/>
    </xf>
    <xf numFmtId="49" fontId="63" fillId="52" borderId="75" xfId="935" applyNumberFormat="1" applyFont="1" applyFill="1" applyBorder="1" applyAlignment="1">
      <alignment horizontal="center" vertical="center" wrapText="1" readingOrder="2"/>
    </xf>
    <xf numFmtId="0" fontId="63" fillId="52" borderId="76" xfId="935" applyFont="1" applyFill="1" applyBorder="1" applyAlignment="1">
      <alignment horizontal="center" vertical="center" wrapText="1" readingOrder="2"/>
    </xf>
    <xf numFmtId="0" fontId="112" fillId="52" borderId="77" xfId="1294" applyFont="1" applyFill="1" applyBorder="1" applyAlignment="1" applyProtection="1">
      <alignment horizontal="center" vertical="center" wrapText="1" readingOrder="2"/>
    </xf>
    <xf numFmtId="0" fontId="64" fillId="51" borderId="73" xfId="935" applyFont="1" applyFill="1" applyBorder="1" applyAlignment="1">
      <alignment horizontal="center" vertical="center" textRotation="90" wrapText="1"/>
    </xf>
    <xf numFmtId="0" fontId="70" fillId="52" borderId="75" xfId="1294" applyFont="1" applyFill="1" applyBorder="1" applyAlignment="1" applyProtection="1">
      <alignment horizontal="center" vertical="center" wrapText="1" readingOrder="2"/>
    </xf>
    <xf numFmtId="0" fontId="70" fillId="52" borderId="76" xfId="1294" applyFont="1" applyFill="1" applyBorder="1" applyAlignment="1" applyProtection="1">
      <alignment horizontal="center" vertical="center" wrapText="1" readingOrder="2"/>
    </xf>
    <xf numFmtId="0" fontId="70" fillId="52" borderId="77" xfId="1294" applyFont="1" applyFill="1" applyBorder="1" applyAlignment="1" applyProtection="1">
      <alignment horizontal="center" vertical="center" wrapText="1" readingOrder="2"/>
    </xf>
    <xf numFmtId="0" fontId="64" fillId="51" borderId="74" xfId="935" applyFont="1" applyFill="1" applyBorder="1" applyAlignment="1">
      <alignment horizontal="center" vertical="center" textRotation="90" wrapText="1"/>
    </xf>
    <xf numFmtId="0" fontId="7" fillId="4" borderId="34" xfId="1" applyFont="1" applyFill="1" applyBorder="1" applyAlignment="1">
      <alignment horizontal="center" vertical="center" wrapText="1"/>
    </xf>
    <xf numFmtId="0" fontId="62" fillId="28" borderId="34" xfId="976" applyFont="1" applyFill="1" applyBorder="1" applyAlignment="1">
      <alignment horizontal="center" vertical="center" wrapText="1"/>
    </xf>
    <xf numFmtId="0" fontId="7" fillId="4" borderId="34" xfId="1" applyFont="1" applyFill="1" applyBorder="1" applyAlignment="1">
      <alignment horizontal="center" vertical="center" wrapText="1"/>
    </xf>
    <xf numFmtId="166" fontId="136" fillId="0" borderId="0" xfId="3" applyNumberFormat="1" applyFont="1" applyBorder="1" applyAlignment="1">
      <alignment vertical="center" wrapText="1"/>
    </xf>
    <xf numFmtId="166" fontId="136" fillId="0" borderId="0" xfId="3" applyNumberFormat="1" applyFont="1" applyAlignment="1">
      <alignment horizontal="center" vertical="center" wrapText="1"/>
    </xf>
    <xf numFmtId="167" fontId="136" fillId="0" borderId="0" xfId="3" applyNumberFormat="1" applyFont="1" applyAlignment="1">
      <alignment horizontal="center" vertical="center" wrapText="1"/>
    </xf>
    <xf numFmtId="170" fontId="136" fillId="0" borderId="0" xfId="3" applyNumberFormat="1" applyFont="1" applyAlignment="1">
      <alignment horizontal="center" vertical="center" wrapText="1"/>
    </xf>
    <xf numFmtId="0" fontId="136" fillId="0" borderId="0" xfId="4" applyFont="1"/>
    <xf numFmtId="0" fontId="136" fillId="30" borderId="0" xfId="4" applyFont="1" applyFill="1"/>
    <xf numFmtId="170" fontId="136" fillId="0" borderId="0" xfId="4" applyNumberFormat="1" applyFont="1"/>
    <xf numFmtId="170" fontId="136" fillId="30" borderId="0" xfId="4" applyNumberFormat="1" applyFont="1" applyFill="1"/>
    <xf numFmtId="166" fontId="6" fillId="0" borderId="0" xfId="1293" applyNumberFormat="1"/>
    <xf numFmtId="166" fontId="6" fillId="0" borderId="0" xfId="1293" applyNumberFormat="1" applyAlignment="1">
      <alignment horizontal="center"/>
    </xf>
    <xf numFmtId="0" fontId="84"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125" fillId="3" borderId="34" xfId="1" applyFont="1" applyFill="1" applyBorder="1" applyAlignment="1">
      <alignment horizontal="center" vertical="center" wrapText="1" readingOrder="2"/>
    </xf>
    <xf numFmtId="0" fontId="7" fillId="4" borderId="34" xfId="1" applyFont="1" applyFill="1" applyBorder="1" applyAlignment="1">
      <alignment horizontal="center" vertical="center" wrapText="1"/>
    </xf>
    <xf numFmtId="0" fontId="6" fillId="3" borderId="34" xfId="4" applyFill="1" applyBorder="1" applyAlignment="1">
      <alignment horizontal="center"/>
    </xf>
    <xf numFmtId="0" fontId="60" fillId="3" borderId="34" xfId="976" applyFont="1" applyFill="1" applyBorder="1" applyAlignment="1">
      <alignment horizontal="center" vertical="center" wrapText="1" readingOrder="2"/>
    </xf>
    <xf numFmtId="0" fontId="62" fillId="28" borderId="34" xfId="976" applyFont="1" applyFill="1" applyBorder="1" applyAlignment="1">
      <alignment horizontal="center" vertical="center" wrapText="1"/>
    </xf>
    <xf numFmtId="0" fontId="5" fillId="3" borderId="35" xfId="4" applyFont="1" applyFill="1" applyBorder="1" applyAlignment="1">
      <alignment horizontal="center"/>
    </xf>
    <xf numFmtId="0" fontId="5" fillId="3" borderId="36" xfId="4" applyFont="1" applyFill="1" applyBorder="1" applyAlignment="1">
      <alignment horizontal="center"/>
    </xf>
    <xf numFmtId="0" fontId="5" fillId="3" borderId="37" xfId="4" applyFont="1" applyFill="1" applyBorder="1" applyAlignment="1">
      <alignment horizontal="center"/>
    </xf>
    <xf numFmtId="0" fontId="5" fillId="28" borderId="34" xfId="976" applyFont="1" applyFill="1" applyBorder="1" applyAlignment="1">
      <alignment horizontal="center" vertical="center" wrapText="1"/>
    </xf>
    <xf numFmtId="0" fontId="7" fillId="31" borderId="34" xfId="1" applyFont="1" applyFill="1" applyBorder="1" applyAlignment="1">
      <alignment horizontal="center" vertical="center" wrapText="1"/>
    </xf>
    <xf numFmtId="0" fontId="68" fillId="4" borderId="34" xfId="1" applyFont="1" applyFill="1" applyBorder="1" applyAlignment="1">
      <alignment horizontal="center" vertical="center" wrapText="1"/>
    </xf>
    <xf numFmtId="0" fontId="66" fillId="3" borderId="34" xfId="1" applyFont="1" applyFill="1" applyBorder="1" applyAlignment="1">
      <alignment horizontal="center" vertical="center" wrapText="1" readingOrder="2"/>
    </xf>
    <xf numFmtId="0" fontId="6" fillId="3" borderId="39" xfId="1293" applyFill="1" applyBorder="1" applyAlignment="1">
      <alignment horizontal="center"/>
    </xf>
    <xf numFmtId="0" fontId="7" fillId="29" borderId="34" xfId="1" applyFont="1" applyFill="1" applyBorder="1" applyAlignment="1">
      <alignment horizontal="center" vertical="center" wrapText="1"/>
    </xf>
    <xf numFmtId="0" fontId="68" fillId="4" borderId="34" xfId="1" applyFont="1" applyFill="1" applyBorder="1" applyAlignment="1">
      <alignment horizontal="center" vertical="center" wrapText="1" readingOrder="2"/>
    </xf>
    <xf numFmtId="0" fontId="126" fillId="4" borderId="34" xfId="1294" applyFont="1" applyFill="1" applyBorder="1" applyAlignment="1" applyProtection="1">
      <alignment horizontal="right" vertical="center" wrapText="1" readingOrder="2"/>
    </xf>
    <xf numFmtId="0" fontId="6" fillId="3" borderId="35" xfId="1293" applyFill="1" applyBorder="1" applyAlignment="1">
      <alignment horizontal="center"/>
    </xf>
    <xf numFmtId="0" fontId="6" fillId="3" borderId="36" xfId="1293" applyFill="1" applyBorder="1" applyAlignment="1">
      <alignment horizontal="center"/>
    </xf>
    <xf numFmtId="0" fontId="6" fillId="3" borderId="37" xfId="1293" applyFill="1" applyBorder="1" applyAlignment="1">
      <alignment horizontal="center"/>
    </xf>
    <xf numFmtId="0" fontId="128" fillId="4" borderId="34" xfId="1294" applyFont="1" applyFill="1" applyBorder="1" applyAlignment="1" applyProtection="1">
      <alignment horizontal="right" vertical="center" wrapText="1" readingOrder="2"/>
    </xf>
    <xf numFmtId="172" fontId="5" fillId="28" borderId="34" xfId="654" applyNumberFormat="1" applyFont="1" applyFill="1" applyBorder="1" applyAlignment="1">
      <alignment horizontal="center" vertical="center" wrapText="1"/>
    </xf>
    <xf numFmtId="0" fontId="125" fillId="32" borderId="34" xfId="1177" applyFont="1" applyFill="1" applyBorder="1" applyAlignment="1">
      <alignment horizontal="center" vertical="center"/>
    </xf>
    <xf numFmtId="167" fontId="5" fillId="28" borderId="34" xfId="4" applyNumberFormat="1" applyFont="1" applyFill="1" applyBorder="1" applyAlignment="1">
      <alignment horizontal="center" vertical="center" wrapText="1"/>
    </xf>
    <xf numFmtId="172" fontId="5" fillId="28" borderId="34" xfId="4" applyNumberFormat="1" applyFont="1" applyFill="1" applyBorder="1" applyAlignment="1">
      <alignment horizontal="center" vertical="center" wrapText="1"/>
    </xf>
    <xf numFmtId="172" fontId="80" fillId="28" borderId="34" xfId="654" applyNumberFormat="1" applyFont="1" applyFill="1" applyBorder="1" applyAlignment="1">
      <alignment horizontal="center" vertical="center" wrapText="1"/>
    </xf>
    <xf numFmtId="0" fontId="4" fillId="45" borderId="34" xfId="946" applyFont="1" applyFill="1" applyBorder="1" applyAlignment="1">
      <alignment horizontal="left" vertical="center" wrapText="1" readingOrder="2"/>
    </xf>
    <xf numFmtId="0" fontId="4" fillId="45" borderId="34" xfId="946" applyFont="1" applyFill="1" applyBorder="1" applyAlignment="1">
      <alignment horizontal="right" vertical="center" wrapText="1" readingOrder="2"/>
    </xf>
    <xf numFmtId="0" fontId="4" fillId="45" borderId="34" xfId="946" applyFont="1" applyFill="1" applyBorder="1" applyAlignment="1">
      <alignment horizontal="center" vertical="center" wrapText="1" readingOrder="2"/>
    </xf>
    <xf numFmtId="166" fontId="124" fillId="39" borderId="40" xfId="3" applyNumberFormat="1" applyFont="1" applyFill="1" applyBorder="1" applyAlignment="1">
      <alignment horizontal="center" vertical="center" wrapText="1" readingOrder="2"/>
    </xf>
    <xf numFmtId="166" fontId="124" fillId="39" borderId="34" xfId="3" applyNumberFormat="1" applyFont="1" applyFill="1" applyBorder="1" applyAlignment="1">
      <alignment horizontal="center" vertical="center" wrapText="1" readingOrder="2"/>
    </xf>
    <xf numFmtId="166" fontId="5" fillId="42" borderId="37" xfId="3" applyNumberFormat="1" applyFont="1" applyFill="1" applyBorder="1" applyAlignment="1">
      <alignment horizontal="center" vertical="center" wrapText="1"/>
    </xf>
    <xf numFmtId="178" fontId="64" fillId="43" borderId="34" xfId="3" applyNumberFormat="1" applyFont="1" applyFill="1" applyBorder="1" applyAlignment="1">
      <alignment horizontal="center" vertical="center" wrapText="1"/>
    </xf>
    <xf numFmtId="4" fontId="64" fillId="43" borderId="34" xfId="3" applyNumberFormat="1" applyFont="1" applyFill="1" applyBorder="1" applyAlignment="1">
      <alignment horizontal="center" vertical="center" wrapText="1"/>
    </xf>
    <xf numFmtId="166" fontId="64" fillId="43" borderId="34" xfId="3" applyNumberFormat="1" applyFont="1" applyFill="1" applyBorder="1" applyAlignment="1">
      <alignment horizontal="center" vertical="center" wrapText="1"/>
    </xf>
    <xf numFmtId="166" fontId="74" fillId="43" borderId="34" xfId="3" applyNumberFormat="1" applyFont="1" applyFill="1" applyBorder="1" applyAlignment="1">
      <alignment horizontal="center" vertical="center" wrapText="1"/>
    </xf>
    <xf numFmtId="0" fontId="82" fillId="34" borderId="0" xfId="2" applyFont="1" applyFill="1" applyAlignment="1">
      <alignment horizontal="center" vertical="center"/>
    </xf>
    <xf numFmtId="0" fontId="5" fillId="35" borderId="11" xfId="2" applyFont="1" applyFill="1" applyBorder="1" applyAlignment="1">
      <alignment horizontal="center" vertical="center"/>
    </xf>
    <xf numFmtId="0" fontId="5" fillId="37" borderId="13" xfId="2" applyFont="1" applyFill="1" applyBorder="1" applyAlignment="1">
      <alignment horizontal="center" vertical="center"/>
    </xf>
    <xf numFmtId="0" fontId="83" fillId="38" borderId="0" xfId="2" applyFont="1" applyFill="1" applyAlignment="1">
      <alignment horizontal="center"/>
    </xf>
    <xf numFmtId="0" fontId="124" fillId="50" borderId="41" xfId="0" applyFont="1" applyFill="1" applyBorder="1" applyAlignment="1">
      <alignment horizontal="center" vertical="center"/>
    </xf>
    <xf numFmtId="0" fontId="124" fillId="50" borderId="39" xfId="0" applyFont="1" applyFill="1" applyBorder="1" applyAlignment="1">
      <alignment horizontal="center" vertical="center"/>
    </xf>
    <xf numFmtId="0" fontId="124" fillId="50" borderId="42" xfId="0" applyFont="1" applyFill="1" applyBorder="1" applyAlignment="1">
      <alignment horizontal="center" vertical="center"/>
    </xf>
    <xf numFmtId="0" fontId="0" fillId="50" borderId="38" xfId="0" applyFill="1" applyBorder="1" applyAlignment="1">
      <alignment horizontal="center"/>
    </xf>
    <xf numFmtId="0" fontId="0" fillId="50" borderId="34" xfId="0" applyFill="1" applyBorder="1" applyAlignment="1">
      <alignment horizontal="center"/>
    </xf>
    <xf numFmtId="0" fontId="0" fillId="50" borderId="40" xfId="0" applyFill="1" applyBorder="1" applyAlignment="1">
      <alignment horizontal="center"/>
    </xf>
    <xf numFmtId="0" fontId="0" fillId="50" borderId="45" xfId="0" applyFill="1" applyBorder="1" applyAlignment="1">
      <alignment horizontal="center"/>
    </xf>
    <xf numFmtId="0" fontId="0" fillId="50" borderId="46" xfId="0" applyFill="1" applyBorder="1" applyAlignment="1">
      <alignment horizontal="center"/>
    </xf>
    <xf numFmtId="0" fontId="0" fillId="50" borderId="47" xfId="0" applyFill="1" applyBorder="1" applyAlignment="1">
      <alignment horizontal="center"/>
    </xf>
    <xf numFmtId="0" fontId="62" fillId="49" borderId="40" xfId="935" applyFont="1" applyFill="1" applyBorder="1" applyAlignment="1">
      <alignment horizontal="center" vertical="center" wrapText="1" readingOrder="2"/>
    </xf>
    <xf numFmtId="0" fontId="62" fillId="49" borderId="38" xfId="935" applyFont="1" applyFill="1" applyBorder="1" applyAlignment="1">
      <alignment horizontal="center" vertical="center" wrapText="1" readingOrder="2"/>
    </xf>
    <xf numFmtId="49" fontId="62" fillId="48" borderId="40" xfId="935" applyNumberFormat="1" applyFont="1" applyFill="1" applyBorder="1" applyAlignment="1">
      <alignment horizontal="center" vertical="center" wrapText="1" readingOrder="2"/>
    </xf>
    <xf numFmtId="49" fontId="62" fillId="48" borderId="38" xfId="935" applyNumberFormat="1" applyFont="1" applyFill="1" applyBorder="1" applyAlignment="1">
      <alignment horizontal="center" vertical="center" wrapText="1" readingOrder="2"/>
    </xf>
    <xf numFmtId="0" fontId="11" fillId="53" borderId="0" xfId="935" applyFont="1" applyFill="1" applyBorder="1" applyAlignment="1">
      <alignment horizontal="right" vertical="center" wrapText="1" readingOrder="2"/>
    </xf>
    <xf numFmtId="0" fontId="132" fillId="53" borderId="0" xfId="935" applyFont="1" applyFill="1" applyBorder="1" applyAlignment="1">
      <alignment horizontal="right" vertical="center" wrapText="1" readingOrder="2"/>
    </xf>
    <xf numFmtId="0" fontId="114" fillId="56" borderId="0" xfId="935" applyFont="1" applyFill="1" applyBorder="1" applyAlignment="1">
      <alignment horizontal="center" vertical="center" wrapText="1"/>
    </xf>
    <xf numFmtId="0" fontId="114" fillId="56" borderId="28" xfId="935" applyFont="1" applyFill="1" applyBorder="1" applyAlignment="1">
      <alignment horizontal="center" vertical="center" wrapText="1"/>
    </xf>
    <xf numFmtId="0" fontId="110" fillId="54" borderId="0" xfId="935" applyFont="1" applyFill="1" applyBorder="1" applyAlignment="1">
      <alignment horizontal="center" vertical="center" wrapText="1"/>
    </xf>
    <xf numFmtId="0" fontId="110" fillId="55" borderId="0" xfId="935" applyFont="1" applyFill="1" applyBorder="1" applyAlignment="1">
      <alignment horizontal="center" vertical="center" wrapText="1"/>
    </xf>
    <xf numFmtId="172" fontId="5" fillId="28" borderId="34" xfId="665" applyNumberFormat="1" applyFont="1" applyFill="1" applyBorder="1" applyAlignment="1">
      <alignment horizontal="center" vertical="center" wrapText="1"/>
    </xf>
    <xf numFmtId="0" fontId="86" fillId="32" borderId="34" xfId="1183" applyFont="1" applyFill="1" applyBorder="1" applyAlignment="1">
      <alignment horizontal="center" vertical="center"/>
    </xf>
    <xf numFmtId="172" fontId="80" fillId="28" borderId="34" xfId="665" applyNumberFormat="1" applyFont="1" applyFill="1" applyBorder="1" applyAlignment="1">
      <alignment horizontal="center" vertical="center" wrapText="1"/>
    </xf>
    <xf numFmtId="166" fontId="131" fillId="39" borderId="34" xfId="3" applyNumberFormat="1" applyFont="1" applyFill="1" applyBorder="1" applyAlignment="1">
      <alignment horizontal="center" vertical="center" wrapText="1" readingOrder="2"/>
    </xf>
    <xf numFmtId="166" fontId="5" fillId="42" borderId="40" xfId="3" applyNumberFormat="1" applyFont="1" applyFill="1" applyBorder="1" applyAlignment="1">
      <alignment horizontal="center" vertical="center" wrapText="1"/>
    </xf>
    <xf numFmtId="166" fontId="5" fillId="42" borderId="38" xfId="3" applyNumberFormat="1" applyFont="1" applyFill="1" applyBorder="1" applyAlignment="1">
      <alignment horizontal="center" vertical="center" wrapText="1"/>
    </xf>
    <xf numFmtId="0" fontId="131" fillId="50" borderId="19" xfId="0" applyFont="1" applyFill="1" applyBorder="1" applyAlignment="1">
      <alignment horizontal="center" vertical="center"/>
    </xf>
    <xf numFmtId="0" fontId="131" fillId="50" borderId="16" xfId="0" applyFont="1" applyFill="1" applyBorder="1" applyAlignment="1">
      <alignment horizontal="center" vertical="center"/>
    </xf>
    <xf numFmtId="0" fontId="131" fillId="50" borderId="20" xfId="0" applyFont="1" applyFill="1" applyBorder="1" applyAlignment="1">
      <alignment horizontal="center" vertical="center"/>
    </xf>
    <xf numFmtId="0" fontId="0" fillId="50" borderId="17" xfId="0" applyFill="1" applyBorder="1" applyAlignment="1">
      <alignment horizontal="center"/>
    </xf>
    <xf numFmtId="0" fontId="0" fillId="50" borderId="18" xfId="0" applyFill="1" applyBorder="1" applyAlignment="1">
      <alignment horizontal="center"/>
    </xf>
    <xf numFmtId="0" fontId="0" fillId="50" borderId="21" xfId="0" applyFill="1" applyBorder="1" applyAlignment="1">
      <alignment horizontal="center"/>
    </xf>
    <xf numFmtId="0" fontId="0" fillId="50" borderId="23" xfId="0" applyFill="1" applyBorder="1" applyAlignment="1">
      <alignment horizontal="center"/>
    </xf>
    <xf numFmtId="0" fontId="0" fillId="50" borderId="22" xfId="0" applyFill="1" applyBorder="1" applyAlignment="1">
      <alignment horizontal="center"/>
    </xf>
    <xf numFmtId="0" fontId="62" fillId="49" borderId="34" xfId="935" applyFont="1" applyFill="1" applyBorder="1" applyAlignment="1">
      <alignment horizontal="center" vertical="center" wrapText="1" readingOrder="2"/>
    </xf>
    <xf numFmtId="49" fontId="62" fillId="48" borderId="34" xfId="935" applyNumberFormat="1" applyFont="1" applyFill="1" applyBorder="1" applyAlignment="1">
      <alignment horizontal="center" vertical="center" wrapText="1" readingOrder="2"/>
    </xf>
    <xf numFmtId="49" fontId="63" fillId="52" borderId="34" xfId="935" applyNumberFormat="1" applyFont="1" applyFill="1" applyBorder="1" applyAlignment="1">
      <alignment horizontal="center" vertical="center" wrapText="1" readingOrder="2"/>
    </xf>
    <xf numFmtId="0" fontId="116" fillId="57" borderId="34" xfId="2" applyFont="1" applyFill="1" applyBorder="1" applyAlignment="1">
      <alignment horizontal="center" vertical="center" wrapText="1"/>
    </xf>
    <xf numFmtId="0" fontId="71" fillId="52" borderId="34" xfId="1294" applyFont="1" applyFill="1" applyBorder="1" applyAlignment="1" applyProtection="1">
      <alignment horizontal="center" vertical="center" wrapText="1" readingOrder="2"/>
    </xf>
    <xf numFmtId="0" fontId="133" fillId="32" borderId="34" xfId="1183" applyFont="1" applyFill="1" applyBorder="1" applyAlignment="1">
      <alignment horizontal="center" vertical="center"/>
    </xf>
    <xf numFmtId="166" fontId="5" fillId="42" borderId="34" xfId="3" applyNumberFormat="1" applyFont="1" applyFill="1" applyBorder="1" applyAlignment="1">
      <alignment horizontal="center" vertical="center" wrapText="1"/>
    </xf>
    <xf numFmtId="178" fontId="64" fillId="43" borderId="38" xfId="3" applyNumberFormat="1" applyFont="1" applyFill="1" applyBorder="1" applyAlignment="1">
      <alignment horizontal="center" vertical="center" wrapText="1"/>
    </xf>
    <xf numFmtId="4" fontId="64" fillId="43" borderId="38" xfId="3" applyNumberFormat="1" applyFont="1" applyFill="1" applyBorder="1" applyAlignment="1">
      <alignment horizontal="center" vertical="center" wrapText="1"/>
    </xf>
    <xf numFmtId="166" fontId="64" fillId="43" borderId="38" xfId="3" applyNumberFormat="1" applyFont="1" applyFill="1" applyBorder="1" applyAlignment="1">
      <alignment horizontal="center" vertical="center" wrapText="1"/>
    </xf>
    <xf numFmtId="166" fontId="74" fillId="43" borderId="38" xfId="3" applyNumberFormat="1" applyFont="1" applyFill="1" applyBorder="1" applyAlignment="1">
      <alignment horizontal="center" vertical="center" wrapText="1"/>
    </xf>
    <xf numFmtId="0" fontId="131" fillId="50" borderId="41" xfId="0" applyFont="1" applyFill="1" applyBorder="1" applyAlignment="1">
      <alignment horizontal="center" vertical="center"/>
    </xf>
    <xf numFmtId="0" fontId="131" fillId="50" borderId="39" xfId="0" applyFont="1" applyFill="1" applyBorder="1" applyAlignment="1">
      <alignment horizontal="center" vertical="center"/>
    </xf>
    <xf numFmtId="0" fontId="131" fillId="50" borderId="42" xfId="0" applyFont="1" applyFill="1" applyBorder="1" applyAlignment="1">
      <alignment horizontal="center" vertical="center"/>
    </xf>
    <xf numFmtId="0" fontId="0" fillId="50" borderId="43" xfId="0" applyFill="1" applyBorder="1" applyAlignment="1">
      <alignment horizontal="center"/>
    </xf>
    <xf numFmtId="0" fontId="0" fillId="50" borderId="44" xfId="0" applyFill="1" applyBorder="1" applyAlignment="1">
      <alignment horizontal="center"/>
    </xf>
    <xf numFmtId="0" fontId="63" fillId="49" borderId="34" xfId="935" applyFont="1" applyFill="1" applyBorder="1" applyAlignment="1">
      <alignment horizontal="center" vertical="center" wrapText="1" readingOrder="2"/>
    </xf>
    <xf numFmtId="0" fontId="64" fillId="0" borderId="34" xfId="0" applyFont="1" applyBorder="1"/>
    <xf numFmtId="0" fontId="63" fillId="52" borderId="34" xfId="935" applyFont="1" applyFill="1" applyBorder="1" applyAlignment="1">
      <alignment horizontal="center" vertical="center" textRotation="90" wrapText="1" readingOrder="2"/>
    </xf>
    <xf numFmtId="0" fontId="131" fillId="32" borderId="34" xfId="1183" applyFont="1" applyFill="1" applyBorder="1" applyAlignment="1">
      <alignment horizontal="center" vertical="center"/>
    </xf>
    <xf numFmtId="0" fontId="118" fillId="52" borderId="34" xfId="935" applyFont="1" applyFill="1" applyBorder="1" applyAlignment="1">
      <alignment horizontal="center" vertical="center" textRotation="90" wrapText="1" readingOrder="2"/>
    </xf>
    <xf numFmtId="0" fontId="125" fillId="39" borderId="34" xfId="1183" applyFont="1" applyFill="1" applyBorder="1" applyAlignment="1">
      <alignment horizontal="center" vertical="center"/>
    </xf>
    <xf numFmtId="166" fontId="125" fillId="39" borderId="34" xfId="3" applyNumberFormat="1" applyFont="1" applyFill="1" applyBorder="1" applyAlignment="1">
      <alignment horizontal="center" vertical="center" wrapText="1" readingOrder="2"/>
    </xf>
    <xf numFmtId="0" fontId="125" fillId="50" borderId="41" xfId="0" applyFont="1" applyFill="1" applyBorder="1" applyAlignment="1">
      <alignment horizontal="center" vertical="center"/>
    </xf>
    <xf numFmtId="0" fontId="125" fillId="50" borderId="39" xfId="0" applyFont="1" applyFill="1" applyBorder="1" applyAlignment="1">
      <alignment horizontal="center" vertical="center"/>
    </xf>
    <xf numFmtId="0" fontId="125" fillId="50" borderId="42" xfId="0" applyFont="1" applyFill="1" applyBorder="1" applyAlignment="1">
      <alignment horizontal="center" vertical="center"/>
    </xf>
    <xf numFmtId="0" fontId="133" fillId="53" borderId="0" xfId="935" applyFont="1" applyFill="1" applyBorder="1" applyAlignment="1">
      <alignment horizontal="right" vertical="center" wrapText="1" readingOrder="2"/>
    </xf>
    <xf numFmtId="0" fontId="83" fillId="51" borderId="34" xfId="935" applyFont="1" applyFill="1" applyBorder="1" applyAlignment="1">
      <alignment horizontal="center" vertical="center" wrapText="1"/>
    </xf>
    <xf numFmtId="0" fontId="63" fillId="52" borderId="34" xfId="935" applyFont="1" applyFill="1" applyBorder="1" applyAlignment="1">
      <alignment horizontal="center" vertical="center" wrapText="1" readingOrder="2"/>
    </xf>
    <xf numFmtId="0" fontId="134" fillId="32" borderId="34" xfId="1183" applyFont="1" applyFill="1" applyBorder="1" applyAlignment="1">
      <alignment horizontal="center" vertical="center" wrapText="1"/>
    </xf>
    <xf numFmtId="0" fontId="134" fillId="32" borderId="34" xfId="1183" applyFont="1" applyFill="1" applyBorder="1" applyAlignment="1">
      <alignment horizontal="center" vertical="center"/>
    </xf>
    <xf numFmtId="166" fontId="102" fillId="39" borderId="34" xfId="3" applyNumberFormat="1" applyFont="1" applyFill="1" applyBorder="1" applyAlignment="1">
      <alignment horizontal="center" vertical="center" wrapText="1" readingOrder="2"/>
    </xf>
    <xf numFmtId="166" fontId="62" fillId="42" borderId="34" xfId="3" applyNumberFormat="1" applyFont="1" applyFill="1" applyBorder="1" applyAlignment="1">
      <alignment horizontal="center" vertical="center" wrapText="1"/>
    </xf>
    <xf numFmtId="0" fontId="11" fillId="53" borderId="33" xfId="935" applyFont="1" applyFill="1" applyBorder="1" applyAlignment="1">
      <alignment horizontal="right" vertical="center" wrapText="1" readingOrder="2"/>
    </xf>
    <xf numFmtId="0" fontId="132" fillId="53" borderId="30" xfId="935" applyFont="1" applyFill="1" applyBorder="1" applyAlignment="1">
      <alignment horizontal="right" vertical="center" wrapText="1" readingOrder="2"/>
    </xf>
    <xf numFmtId="0" fontId="132" fillId="53" borderId="31" xfId="935" applyFont="1" applyFill="1" applyBorder="1" applyAlignment="1">
      <alignment horizontal="right" vertical="center" wrapText="1" readingOrder="2"/>
    </xf>
    <xf numFmtId="0" fontId="132" fillId="53" borderId="33" xfId="935" applyFont="1" applyFill="1" applyBorder="1" applyAlignment="1">
      <alignment horizontal="right" vertical="center" wrapText="1" readingOrder="2"/>
    </xf>
    <xf numFmtId="172" fontId="5" fillId="28" borderId="34" xfId="661" applyNumberFormat="1" applyFont="1" applyFill="1" applyBorder="1" applyAlignment="1">
      <alignment horizontal="center" vertical="center" wrapText="1"/>
    </xf>
    <xf numFmtId="0" fontId="132" fillId="32" borderId="34" xfId="1183" applyFont="1" applyFill="1" applyBorder="1" applyAlignment="1">
      <alignment horizontal="center" vertical="center" wrapText="1"/>
    </xf>
    <xf numFmtId="0" fontId="132" fillId="32" borderId="34" xfId="1183" applyFont="1" applyFill="1" applyBorder="1" applyAlignment="1">
      <alignment horizontal="center" vertical="center"/>
    </xf>
    <xf numFmtId="172" fontId="80" fillId="28" borderId="34" xfId="661" applyNumberFormat="1" applyFont="1" applyFill="1" applyBorder="1" applyAlignment="1">
      <alignment horizontal="center" vertical="center" wrapText="1"/>
    </xf>
    <xf numFmtId="166" fontId="133" fillId="39" borderId="34" xfId="3" applyNumberFormat="1" applyFont="1" applyFill="1" applyBorder="1" applyAlignment="1">
      <alignment horizontal="center" vertical="center" wrapText="1" readingOrder="2"/>
    </xf>
    <xf numFmtId="0" fontId="125" fillId="32" borderId="34" xfId="1183" applyFont="1" applyFill="1" applyBorder="1" applyAlignment="1">
      <alignment horizontal="center" vertical="center"/>
    </xf>
    <xf numFmtId="166" fontId="131" fillId="39" borderId="40" xfId="3" applyNumberFormat="1" applyFont="1" applyFill="1" applyBorder="1" applyAlignment="1">
      <alignment horizontal="center" vertical="center" wrapText="1" readingOrder="2"/>
    </xf>
    <xf numFmtId="0" fontId="83" fillId="51" borderId="65" xfId="935" applyFont="1" applyFill="1" applyBorder="1" applyAlignment="1">
      <alignment horizontal="center" vertical="center" wrapText="1"/>
    </xf>
    <xf numFmtId="0" fontId="83" fillId="51" borderId="67" xfId="935" applyFont="1" applyFill="1" applyBorder="1" applyAlignment="1">
      <alignment horizontal="center" vertical="center" wrapText="1"/>
    </xf>
    <xf numFmtId="0" fontId="80" fillId="51" borderId="69" xfId="935" applyFont="1" applyFill="1" applyBorder="1" applyAlignment="1">
      <alignment horizontal="center" vertical="center" wrapText="1"/>
    </xf>
    <xf numFmtId="0" fontId="80" fillId="51" borderId="38" xfId="935" applyFont="1" applyFill="1" applyBorder="1" applyAlignment="1">
      <alignment horizontal="center" vertical="center" wrapText="1"/>
    </xf>
    <xf numFmtId="0" fontId="88" fillId="51" borderId="66" xfId="935" applyFont="1" applyFill="1" applyBorder="1" applyAlignment="1">
      <alignment horizontal="center" vertical="center" wrapText="1"/>
    </xf>
    <xf numFmtId="0" fontId="88" fillId="51" borderId="68" xfId="935" applyFont="1" applyFill="1" applyBorder="1" applyAlignment="1">
      <alignment horizontal="center" vertical="center" wrapText="1"/>
    </xf>
    <xf numFmtId="0" fontId="5" fillId="51" borderId="48" xfId="935" applyFont="1" applyFill="1" applyBorder="1" applyAlignment="1">
      <alignment horizontal="center" vertical="center" wrapText="1"/>
    </xf>
    <xf numFmtId="0" fontId="5" fillId="51" borderId="49" xfId="935" applyFont="1" applyFill="1" applyBorder="1" applyAlignment="1">
      <alignment horizontal="center" vertical="center" wrapText="1"/>
    </xf>
    <xf numFmtId="0" fontId="5" fillId="51" borderId="50" xfId="935" applyFont="1" applyFill="1" applyBorder="1" applyAlignment="1">
      <alignment horizontal="center" vertical="center" wrapText="1"/>
    </xf>
    <xf numFmtId="0" fontId="64" fillId="51" borderId="51" xfId="935" applyFont="1" applyFill="1" applyBorder="1" applyAlignment="1">
      <alignment horizontal="center" vertical="center" textRotation="90" wrapText="1"/>
    </xf>
    <xf numFmtId="0" fontId="64" fillId="51" borderId="37" xfId="935" applyFont="1" applyFill="1" applyBorder="1" applyAlignment="1">
      <alignment horizontal="center" vertical="center" textRotation="90" wrapText="1"/>
    </xf>
    <xf numFmtId="0" fontId="64" fillId="51" borderId="35" xfId="935" applyFont="1" applyFill="1" applyBorder="1" applyAlignment="1">
      <alignment horizontal="center" vertical="center" textRotation="90" wrapText="1"/>
    </xf>
    <xf numFmtId="0" fontId="64" fillId="51" borderId="34" xfId="935" applyFont="1" applyFill="1" applyBorder="1" applyAlignment="1">
      <alignment horizontal="center" vertical="center" textRotation="90" wrapText="1"/>
    </xf>
    <xf numFmtId="0" fontId="64" fillId="51" borderId="52" xfId="935" applyFont="1" applyFill="1" applyBorder="1" applyAlignment="1">
      <alignment horizontal="center" vertical="center" textRotation="90" wrapText="1"/>
    </xf>
    <xf numFmtId="0" fontId="64" fillId="51" borderId="64" xfId="935" applyFont="1" applyFill="1" applyBorder="1" applyAlignment="1">
      <alignment horizontal="center" vertical="center" textRotation="90" wrapText="1"/>
    </xf>
    <xf numFmtId="0" fontId="107" fillId="52" borderId="56" xfId="1294" applyFont="1" applyFill="1" applyBorder="1" applyAlignment="1" applyProtection="1">
      <alignment horizontal="center" vertical="center" wrapText="1" readingOrder="2"/>
    </xf>
    <xf numFmtId="0" fontId="107" fillId="52" borderId="57" xfId="1294" applyFont="1" applyFill="1" applyBorder="1" applyAlignment="1" applyProtection="1">
      <alignment horizontal="center" vertical="center" wrapText="1" readingOrder="2"/>
    </xf>
    <xf numFmtId="0" fontId="107" fillId="52" borderId="58" xfId="1294" applyFont="1" applyFill="1" applyBorder="1" applyAlignment="1" applyProtection="1">
      <alignment horizontal="center" vertical="center" wrapText="1" readingOrder="2"/>
    </xf>
    <xf numFmtId="0" fontId="107" fillId="52" borderId="54" xfId="1294" applyFont="1" applyFill="1" applyBorder="1" applyAlignment="1" applyProtection="1">
      <alignment horizontal="center" vertical="center" wrapText="1" readingOrder="2"/>
    </xf>
    <xf numFmtId="0" fontId="107" fillId="52" borderId="55" xfId="1294" applyFont="1" applyFill="1" applyBorder="1" applyAlignment="1" applyProtection="1">
      <alignment horizontal="center" vertical="center" wrapText="1" readingOrder="2"/>
    </xf>
    <xf numFmtId="0" fontId="107" fillId="52" borderId="53" xfId="1294" applyFont="1" applyFill="1" applyBorder="1" applyAlignment="1" applyProtection="1">
      <alignment horizontal="center" vertical="center" wrapText="1" readingOrder="2"/>
    </xf>
    <xf numFmtId="0" fontId="64" fillId="51" borderId="62" xfId="935" applyFont="1" applyFill="1" applyBorder="1" applyAlignment="1">
      <alignment horizontal="center" vertical="center" textRotation="90" wrapText="1"/>
    </xf>
    <xf numFmtId="0" fontId="80" fillId="51" borderId="66" xfId="935" applyFont="1" applyFill="1" applyBorder="1" applyAlignment="1">
      <alignment horizontal="center" vertical="center" textRotation="90" wrapText="1"/>
    </xf>
    <xf numFmtId="0" fontId="80" fillId="51" borderId="68" xfId="935" applyFont="1" applyFill="1" applyBorder="1" applyAlignment="1">
      <alignment horizontal="center" vertical="center" textRotation="90" wrapText="1"/>
    </xf>
    <xf numFmtId="0" fontId="107" fillId="52" borderId="63" xfId="1294" applyFont="1" applyFill="1" applyBorder="1" applyAlignment="1" applyProtection="1">
      <alignment horizontal="center" vertical="center" wrapText="1" readingOrder="2"/>
    </xf>
    <xf numFmtId="0" fontId="5" fillId="51" borderId="59" xfId="935" applyFont="1" applyFill="1" applyBorder="1" applyAlignment="1">
      <alignment horizontal="center" vertical="center" wrapText="1"/>
    </xf>
    <xf numFmtId="0" fontId="5" fillId="51" borderId="60" xfId="935" applyFont="1" applyFill="1" applyBorder="1" applyAlignment="1">
      <alignment horizontal="center" vertical="center" wrapText="1"/>
    </xf>
    <xf numFmtId="0" fontId="5" fillId="51" borderId="61" xfId="935" applyFont="1" applyFill="1" applyBorder="1" applyAlignment="1">
      <alignment horizontal="center" vertical="center" wrapText="1"/>
    </xf>
    <xf numFmtId="0" fontId="80" fillId="51" borderId="34" xfId="935" applyFont="1" applyFill="1" applyBorder="1" applyAlignment="1">
      <alignment horizontal="center" vertical="center" wrapText="1"/>
    </xf>
    <xf numFmtId="0" fontId="5" fillId="51" borderId="34" xfId="935" applyFont="1" applyFill="1" applyBorder="1" applyAlignment="1">
      <alignment horizontal="center" vertical="center" wrapText="1"/>
    </xf>
    <xf numFmtId="0" fontId="101" fillId="52" borderId="34" xfId="935" applyFont="1" applyFill="1" applyBorder="1" applyAlignment="1">
      <alignment horizontal="center" vertical="center" wrapText="1" readingOrder="2"/>
    </xf>
    <xf numFmtId="0" fontId="70" fillId="52" borderId="34" xfId="1294" applyFont="1" applyFill="1" applyBorder="1" applyAlignment="1" applyProtection="1">
      <alignment horizontal="center" vertical="center" wrapText="1" readingOrder="2"/>
    </xf>
    <xf numFmtId="166" fontId="107" fillId="52" borderId="34" xfId="653" applyNumberFormat="1" applyFont="1" applyFill="1" applyBorder="1" applyAlignment="1" applyProtection="1">
      <alignment horizontal="center" vertical="center" wrapText="1"/>
    </xf>
    <xf numFmtId="0" fontId="79" fillId="51" borderId="0" xfId="935" applyFont="1" applyFill="1" applyBorder="1" applyAlignment="1">
      <alignment horizontal="center" vertical="center" wrapText="1"/>
    </xf>
    <xf numFmtId="0" fontId="88" fillId="51" borderId="34" xfId="935" applyFont="1" applyFill="1" applyBorder="1" applyAlignment="1">
      <alignment horizontal="center" vertical="center" wrapText="1"/>
    </xf>
    <xf numFmtId="0" fontId="106" fillId="0" borderId="34" xfId="2" applyFont="1" applyBorder="1" applyAlignment="1">
      <alignment horizontal="center" vertical="center"/>
    </xf>
    <xf numFmtId="0" fontId="107" fillId="52" borderId="34" xfId="1294" applyFont="1" applyFill="1" applyBorder="1" applyAlignment="1" applyProtection="1">
      <alignment horizontal="center" vertical="center" wrapText="1" readingOrder="2"/>
    </xf>
    <xf numFmtId="0" fontId="80" fillId="51" borderId="34" xfId="935" applyFont="1" applyFill="1" applyBorder="1" applyAlignment="1">
      <alignment horizontal="center" vertical="center" textRotation="90" wrapText="1"/>
    </xf>
    <xf numFmtId="0" fontId="109" fillId="0" borderId="34" xfId="2" applyFont="1" applyBorder="1" applyAlignment="1">
      <alignment horizontal="center" vertical="center" textRotation="90"/>
    </xf>
    <xf numFmtId="0" fontId="5" fillId="51" borderId="79" xfId="935" applyFont="1" applyFill="1" applyBorder="1" applyAlignment="1">
      <alignment horizontal="center" vertical="center" wrapText="1"/>
    </xf>
    <xf numFmtId="0" fontId="5" fillId="51" borderId="80" xfId="935" applyFont="1" applyFill="1" applyBorder="1" applyAlignment="1">
      <alignment horizontal="center" vertical="center" wrapText="1"/>
    </xf>
    <xf numFmtId="0" fontId="5" fillId="51" borderId="81" xfId="935" applyFont="1" applyFill="1" applyBorder="1" applyAlignment="1">
      <alignment horizontal="center" vertical="center" wrapText="1"/>
    </xf>
    <xf numFmtId="0" fontId="70" fillId="52" borderId="85" xfId="1294" applyFont="1" applyFill="1" applyBorder="1" applyAlignment="1" applyProtection="1">
      <alignment horizontal="center" vertical="center" wrapText="1" readingOrder="2"/>
    </xf>
    <xf numFmtId="0" fontId="70" fillId="52" borderId="86" xfId="1294" applyFont="1" applyFill="1" applyBorder="1" applyAlignment="1" applyProtection="1">
      <alignment horizontal="center" vertical="center" wrapText="1" readingOrder="2"/>
    </xf>
    <xf numFmtId="0" fontId="64" fillId="51" borderId="82" xfId="935" applyFont="1" applyFill="1" applyBorder="1" applyAlignment="1">
      <alignment horizontal="center" vertical="center" textRotation="90" wrapText="1"/>
    </xf>
    <xf numFmtId="0" fontId="64" fillId="51" borderId="78" xfId="935" applyFont="1" applyFill="1" applyBorder="1" applyAlignment="1">
      <alignment horizontal="center" vertical="center" textRotation="90" wrapText="1"/>
    </xf>
    <xf numFmtId="0" fontId="131" fillId="53" borderId="34" xfId="935" applyFont="1" applyFill="1" applyBorder="1" applyAlignment="1">
      <alignment horizontal="center" vertical="center" wrapText="1" readingOrder="2"/>
    </xf>
    <xf numFmtId="0" fontId="131" fillId="53" borderId="40" xfId="935" applyFont="1" applyFill="1" applyBorder="1" applyAlignment="1">
      <alignment horizontal="center" vertical="center" wrapText="1" readingOrder="2"/>
    </xf>
    <xf numFmtId="0" fontId="110" fillId="54" borderId="35" xfId="935" applyFont="1" applyFill="1" applyBorder="1" applyAlignment="1">
      <alignment horizontal="center" vertical="center" wrapText="1"/>
    </xf>
    <xf numFmtId="0" fontId="110" fillId="54" borderId="34" xfId="935" applyFont="1" applyFill="1" applyBorder="1" applyAlignment="1">
      <alignment horizontal="center" vertical="center" wrapText="1"/>
    </xf>
    <xf numFmtId="0" fontId="83" fillId="51" borderId="70" xfId="935" applyFont="1" applyFill="1" applyBorder="1" applyAlignment="1">
      <alignment horizontal="center" vertical="center" wrapText="1"/>
    </xf>
    <xf numFmtId="0" fontId="83" fillId="51" borderId="73" xfId="935" applyFont="1" applyFill="1" applyBorder="1" applyAlignment="1">
      <alignment horizontal="center" vertical="center" wrapText="1"/>
    </xf>
    <xf numFmtId="0" fontId="80" fillId="51" borderId="71" xfId="935" applyFont="1" applyFill="1" applyBorder="1" applyAlignment="1">
      <alignment horizontal="center" vertical="center" wrapText="1"/>
    </xf>
    <xf numFmtId="0" fontId="80" fillId="51" borderId="72" xfId="935" applyFont="1" applyFill="1" applyBorder="1" applyAlignment="1">
      <alignment horizontal="center" vertical="center" textRotation="90" wrapText="1"/>
    </xf>
    <xf numFmtId="0" fontId="109" fillId="0" borderId="74" xfId="2" applyFont="1" applyBorder="1" applyAlignment="1">
      <alignment horizontal="center" vertical="center" textRotation="90"/>
    </xf>
    <xf numFmtId="0" fontId="5" fillId="51" borderId="70" xfId="935" applyFont="1" applyFill="1" applyBorder="1" applyAlignment="1">
      <alignment horizontal="center" vertical="center" wrapText="1"/>
    </xf>
    <xf numFmtId="0" fontId="5" fillId="51" borderId="71" xfId="935" applyFont="1" applyFill="1" applyBorder="1" applyAlignment="1">
      <alignment horizontal="center" vertical="center" wrapText="1"/>
    </xf>
    <xf numFmtId="0" fontId="5" fillId="51" borderId="72" xfId="935" applyFont="1" applyFill="1" applyBorder="1" applyAlignment="1">
      <alignment horizontal="center" vertical="center" wrapText="1"/>
    </xf>
    <xf numFmtId="0" fontId="110" fillId="55" borderId="37" xfId="935" applyFont="1" applyFill="1" applyBorder="1" applyAlignment="1">
      <alignment horizontal="center" vertical="center" wrapText="1"/>
    </xf>
    <xf numFmtId="0" fontId="110" fillId="55" borderId="34" xfId="935" applyFont="1" applyFill="1" applyBorder="1" applyAlignment="1">
      <alignment horizontal="center" vertical="center" wrapText="1"/>
    </xf>
    <xf numFmtId="0" fontId="64" fillId="51" borderId="74" xfId="935" applyFont="1" applyFill="1" applyBorder="1" applyAlignment="1">
      <alignment horizontal="center" vertical="center" textRotation="90" wrapText="1"/>
    </xf>
    <xf numFmtId="0" fontId="70" fillId="52" borderId="76" xfId="1294" applyFont="1" applyFill="1" applyBorder="1" applyAlignment="1" applyProtection="1">
      <alignment horizontal="center" vertical="center" wrapText="1" readingOrder="2"/>
    </xf>
    <xf numFmtId="0" fontId="70" fillId="52" borderId="77" xfId="1294" applyFont="1" applyFill="1" applyBorder="1" applyAlignment="1" applyProtection="1">
      <alignment horizontal="center" vertical="center" wrapText="1" readingOrder="2"/>
    </xf>
    <xf numFmtId="1" fontId="70" fillId="52" borderId="76" xfId="1294" applyNumberFormat="1" applyFont="1" applyFill="1" applyBorder="1" applyAlignment="1" applyProtection="1">
      <alignment horizontal="center" vertical="center" wrapText="1" readingOrder="2"/>
    </xf>
    <xf numFmtId="1" fontId="70" fillId="52" borderId="77" xfId="1294" applyNumberFormat="1" applyFont="1" applyFill="1" applyBorder="1" applyAlignment="1" applyProtection="1">
      <alignment horizontal="center" vertical="center" wrapText="1" readingOrder="2"/>
    </xf>
    <xf numFmtId="0" fontId="64" fillId="51" borderId="73" xfId="935" applyFont="1" applyFill="1" applyBorder="1" applyAlignment="1">
      <alignment horizontal="center" vertical="center" textRotation="90" wrapText="1"/>
    </xf>
    <xf numFmtId="0" fontId="70" fillId="52" borderId="75" xfId="1294" applyFont="1" applyFill="1" applyBorder="1" applyAlignment="1" applyProtection="1">
      <alignment horizontal="center" vertical="center" wrapText="1" readingOrder="2"/>
    </xf>
    <xf numFmtId="0" fontId="70" fillId="52" borderId="83" xfId="1294" applyFont="1" applyFill="1" applyBorder="1" applyAlignment="1" applyProtection="1">
      <alignment horizontal="center" vertical="center" wrapText="1" readingOrder="2"/>
    </xf>
    <xf numFmtId="0" fontId="70" fillId="52" borderId="84" xfId="1294" applyFont="1" applyFill="1" applyBorder="1" applyAlignment="1" applyProtection="1">
      <alignment horizontal="center" vertical="center" wrapText="1" readingOrder="2"/>
    </xf>
    <xf numFmtId="0" fontId="111" fillId="51" borderId="38" xfId="935" applyFont="1" applyFill="1" applyBorder="1" applyAlignment="1">
      <alignment horizontal="center" vertical="center" wrapText="1"/>
    </xf>
    <xf numFmtId="1" fontId="70" fillId="52" borderId="34" xfId="1294" applyNumberFormat="1" applyFont="1" applyFill="1" applyBorder="1" applyAlignment="1" applyProtection="1">
      <alignment horizontal="center" vertical="center" wrapText="1" readingOrder="2"/>
    </xf>
    <xf numFmtId="0" fontId="133" fillId="32" borderId="34" xfId="1183" applyFont="1" applyFill="1" applyBorder="1" applyAlignment="1">
      <alignment horizontal="center" vertical="center" wrapText="1"/>
    </xf>
    <xf numFmtId="0" fontId="131" fillId="50" borderId="19" xfId="0" applyFont="1" applyFill="1" applyBorder="1" applyAlignment="1">
      <alignment horizontal="center" vertical="center" wrapText="1"/>
    </xf>
    <xf numFmtId="0" fontId="2" fillId="0" borderId="0" xfId="935" applyAlignment="1">
      <alignment horizontal="center" vertical="center"/>
    </xf>
    <xf numFmtId="0" fontId="96" fillId="33" borderId="0" xfId="976" applyFont="1" applyFill="1" applyBorder="1" applyAlignment="1">
      <alignment horizontal="center" vertical="center" wrapText="1" readingOrder="2"/>
    </xf>
    <xf numFmtId="0" fontId="73" fillId="33" borderId="0" xfId="1" applyFont="1" applyFill="1" applyBorder="1" applyAlignment="1">
      <alignment horizontal="center" vertical="center" wrapText="1"/>
    </xf>
    <xf numFmtId="173" fontId="73" fillId="33" borderId="0" xfId="976" applyNumberFormat="1" applyFont="1" applyFill="1" applyBorder="1" applyAlignment="1">
      <alignment horizontal="right" vertical="center" wrapText="1"/>
    </xf>
    <xf numFmtId="0" fontId="73" fillId="33" borderId="0" xfId="4" applyFont="1" applyFill="1" applyBorder="1" applyAlignment="1">
      <alignment horizontal="center"/>
    </xf>
  </cellXfs>
  <cellStyles count="1301">
    <cellStyle name="_amalkarde 87" xfId="5"/>
    <cellStyle name="_amalkarde 87_تنخواه 91+5 ارديبهشت" xfId="6"/>
    <cellStyle name="_amalkarde 87_جدول تنخواه 21-1-1390-بااصلاحات-11-3-90" xfId="7"/>
    <cellStyle name="_amalkarde 87_جدول تنخواه 21-1-1390-بااصلاحات-11-3-90_تنخواه 91+5 ارديبهشت" xfId="8"/>
    <cellStyle name="_BAND O BAKHSH" xfId="9"/>
    <cellStyle name="_BAND O BAKHSH_تنخواه 91+5 ارديبهشت" xfId="10"/>
    <cellStyle name="_BAND O BAKHSH_جدول تنخواه 21-1-1390-بااصلاحات-11-3-90" xfId="11"/>
    <cellStyle name="_BAND O BAKHSH_جدول تنخواه 21-1-1390-بااصلاحات-11-3-90_تنخواه 91+5 ارديبهشت" xfId="12"/>
    <cellStyle name="_Copy of 1385~1" xfId="13"/>
    <cellStyle name="_Copy of 1385~1_تنخواه 91+5 ارديبهشت" xfId="14"/>
    <cellStyle name="_Copy of 1385~1_جدول تنخواه 21-1-1390-بااصلاحات-11-3-90" xfId="15"/>
    <cellStyle name="_Copy of 1385~1_جدول تنخواه 21-1-1390-بااصلاحات-11-3-90_تنخواه 91+5 ارديبهشت" xfId="16"/>
    <cellStyle name="_Copy of 1386~1" xfId="17"/>
    <cellStyle name="_Copy of 1386~1_تنخواه 91+5 ارديبهشت" xfId="18"/>
    <cellStyle name="_Copy of 1386~1_جدول تنخواه 21-1-1390-بااصلاحات-11-3-90" xfId="19"/>
    <cellStyle name="_Copy of 1386~1_جدول تنخواه 21-1-1390-بااصلاحات-11-3-90_تنخواه 91+5 ارديبهشت" xfId="20"/>
    <cellStyle name="_عملكرد 1385" xfId="21"/>
    <cellStyle name="_عملكرد 1385_تنخواه 91+5 ارديبهشت" xfId="22"/>
    <cellStyle name="_عملكرد 1385_جدول تنخواه 21-1-1390-بااصلاحات-11-3-90" xfId="23"/>
    <cellStyle name="_عملكرد 1385_جدول تنخواه 21-1-1390-بااصلاحات-11-3-90_تنخواه 91+5 ارديبهشت" xfId="24"/>
    <cellStyle name="20% - Accent1 2" xfId="25"/>
    <cellStyle name="20% - Accent1 2 2" xfId="26"/>
    <cellStyle name="20% - Accent1 2 3" xfId="27"/>
    <cellStyle name="20% - Accent1 2 4" xfId="28"/>
    <cellStyle name="20% - Accent1 2 5" xfId="29"/>
    <cellStyle name="20% - Accent1 2 6" xfId="30"/>
    <cellStyle name="20% - Accent1 2 7" xfId="31"/>
    <cellStyle name="20% - Accent1 3" xfId="32"/>
    <cellStyle name="20% - Accent1 3 2" xfId="33"/>
    <cellStyle name="20% - Accent1 3 3" xfId="34"/>
    <cellStyle name="20% - Accent1 3 4" xfId="35"/>
    <cellStyle name="20% - Accent1 3 5" xfId="36"/>
    <cellStyle name="20% - Accent1 3 6" xfId="37"/>
    <cellStyle name="20% - Accent1 3 7" xfId="38"/>
    <cellStyle name="20% - Accent1 4" xfId="39"/>
    <cellStyle name="20% - Accent1 4 2" xfId="40"/>
    <cellStyle name="20% - Accent1 4 3" xfId="41"/>
    <cellStyle name="20% - Accent1 4 4" xfId="42"/>
    <cellStyle name="20% - Accent1 4 5" xfId="43"/>
    <cellStyle name="20% - Accent1 4 6" xfId="44"/>
    <cellStyle name="20% - Accent1 4 7" xfId="45"/>
    <cellStyle name="20% - Accent1 5" xfId="46"/>
    <cellStyle name="20% - Accent1 6" xfId="47"/>
    <cellStyle name="20% - Accent2 2" xfId="48"/>
    <cellStyle name="20% - Accent2 2 2" xfId="49"/>
    <cellStyle name="20% - Accent2 2 3" xfId="50"/>
    <cellStyle name="20% - Accent2 2 4" xfId="51"/>
    <cellStyle name="20% - Accent2 2 5" xfId="52"/>
    <cellStyle name="20% - Accent2 2 6" xfId="53"/>
    <cellStyle name="20% - Accent2 2 7" xfId="54"/>
    <cellStyle name="20% - Accent2 3" xfId="55"/>
    <cellStyle name="20% - Accent2 3 2" xfId="56"/>
    <cellStyle name="20% - Accent2 3 3" xfId="57"/>
    <cellStyle name="20% - Accent2 3 4" xfId="58"/>
    <cellStyle name="20% - Accent2 3 5" xfId="59"/>
    <cellStyle name="20% - Accent2 3 6" xfId="60"/>
    <cellStyle name="20% - Accent2 3 7" xfId="61"/>
    <cellStyle name="20% - Accent2 4" xfId="62"/>
    <cellStyle name="20% - Accent2 4 2" xfId="63"/>
    <cellStyle name="20% - Accent2 4 3" xfId="64"/>
    <cellStyle name="20% - Accent2 4 4" xfId="65"/>
    <cellStyle name="20% - Accent2 4 5" xfId="66"/>
    <cellStyle name="20% - Accent2 4 6" xfId="67"/>
    <cellStyle name="20% - Accent2 4 7" xfId="68"/>
    <cellStyle name="20% - Accent2 5" xfId="69"/>
    <cellStyle name="20% - Accent2 6" xfId="70"/>
    <cellStyle name="20% - Accent3 2" xfId="71"/>
    <cellStyle name="20% - Accent3 2 2" xfId="72"/>
    <cellStyle name="20% - Accent3 2 3" xfId="73"/>
    <cellStyle name="20% - Accent3 2 4" xfId="74"/>
    <cellStyle name="20% - Accent3 2 5" xfId="75"/>
    <cellStyle name="20% - Accent3 2 6" xfId="76"/>
    <cellStyle name="20% - Accent3 2 7" xfId="77"/>
    <cellStyle name="20% - Accent3 3" xfId="78"/>
    <cellStyle name="20% - Accent3 3 2" xfId="79"/>
    <cellStyle name="20% - Accent3 3 3" xfId="80"/>
    <cellStyle name="20% - Accent3 3 4" xfId="81"/>
    <cellStyle name="20% - Accent3 3 5" xfId="82"/>
    <cellStyle name="20% - Accent3 3 6" xfId="83"/>
    <cellStyle name="20% - Accent3 3 7" xfId="84"/>
    <cellStyle name="20% - Accent3 4" xfId="85"/>
    <cellStyle name="20% - Accent3 4 2" xfId="86"/>
    <cellStyle name="20% - Accent3 4 3" xfId="87"/>
    <cellStyle name="20% - Accent3 4 4" xfId="88"/>
    <cellStyle name="20% - Accent3 4 5" xfId="89"/>
    <cellStyle name="20% - Accent3 4 6" xfId="90"/>
    <cellStyle name="20% - Accent3 4 7" xfId="91"/>
    <cellStyle name="20% - Accent3 5" xfId="92"/>
    <cellStyle name="20% - Accent3 6" xfId="93"/>
    <cellStyle name="20% - Accent4 2" xfId="94"/>
    <cellStyle name="20% - Accent4 2 2" xfId="95"/>
    <cellStyle name="20% - Accent4 2 3" xfId="96"/>
    <cellStyle name="20% - Accent4 2 4" xfId="97"/>
    <cellStyle name="20% - Accent4 2 5" xfId="98"/>
    <cellStyle name="20% - Accent4 2 6" xfId="99"/>
    <cellStyle name="20% - Accent4 2 7" xfId="100"/>
    <cellStyle name="20% - Accent4 3" xfId="101"/>
    <cellStyle name="20% - Accent4 3 2" xfId="102"/>
    <cellStyle name="20% - Accent4 3 3" xfId="103"/>
    <cellStyle name="20% - Accent4 3 4" xfId="104"/>
    <cellStyle name="20% - Accent4 3 5" xfId="105"/>
    <cellStyle name="20% - Accent4 3 6" xfId="106"/>
    <cellStyle name="20% - Accent4 3 7" xfId="107"/>
    <cellStyle name="20% - Accent4 4" xfId="108"/>
    <cellStyle name="20% - Accent4 4 2" xfId="109"/>
    <cellStyle name="20% - Accent4 4 3" xfId="110"/>
    <cellStyle name="20% - Accent4 4 4" xfId="111"/>
    <cellStyle name="20% - Accent4 4 5" xfId="112"/>
    <cellStyle name="20% - Accent4 4 6" xfId="113"/>
    <cellStyle name="20% - Accent4 4 7" xfId="114"/>
    <cellStyle name="20% - Accent4 5" xfId="115"/>
    <cellStyle name="20% - Accent4 6" xfId="116"/>
    <cellStyle name="20% - Accent5 2" xfId="117"/>
    <cellStyle name="20% - Accent5 2 2" xfId="118"/>
    <cellStyle name="20% - Accent5 2 3" xfId="119"/>
    <cellStyle name="20% - Accent5 2 4" xfId="120"/>
    <cellStyle name="20% - Accent5 2 5" xfId="121"/>
    <cellStyle name="20% - Accent5 2 6" xfId="122"/>
    <cellStyle name="20% - Accent5 2 7" xfId="123"/>
    <cellStyle name="20% - Accent5 3" xfId="124"/>
    <cellStyle name="20% - Accent5 3 2" xfId="125"/>
    <cellStyle name="20% - Accent5 3 3" xfId="126"/>
    <cellStyle name="20% - Accent5 3 4" xfId="127"/>
    <cellStyle name="20% - Accent5 3 5" xfId="128"/>
    <cellStyle name="20% - Accent5 3 6" xfId="129"/>
    <cellStyle name="20% - Accent5 3 7" xfId="130"/>
    <cellStyle name="20% - Accent5 4" xfId="131"/>
    <cellStyle name="20% - Accent5 4 2" xfId="132"/>
    <cellStyle name="20% - Accent5 4 3" xfId="133"/>
    <cellStyle name="20% - Accent5 4 4" xfId="134"/>
    <cellStyle name="20% - Accent5 4 5" xfId="135"/>
    <cellStyle name="20% - Accent5 4 6" xfId="136"/>
    <cellStyle name="20% - Accent5 4 7" xfId="137"/>
    <cellStyle name="20% - Accent5 5" xfId="138"/>
    <cellStyle name="20% - Accent5 6" xfId="139"/>
    <cellStyle name="20% - Accent6 2" xfId="140"/>
    <cellStyle name="20% - Accent6 2 2" xfId="141"/>
    <cellStyle name="20% - Accent6 2 3" xfId="142"/>
    <cellStyle name="20% - Accent6 2 4" xfId="143"/>
    <cellStyle name="20% - Accent6 2 5" xfId="144"/>
    <cellStyle name="20% - Accent6 2 6" xfId="145"/>
    <cellStyle name="20% - Accent6 2 7" xfId="146"/>
    <cellStyle name="20% - Accent6 3" xfId="147"/>
    <cellStyle name="20% - Accent6 3 2" xfId="148"/>
    <cellStyle name="20% - Accent6 3 3" xfId="149"/>
    <cellStyle name="20% - Accent6 3 4" xfId="150"/>
    <cellStyle name="20% - Accent6 3 5" xfId="151"/>
    <cellStyle name="20% - Accent6 3 6" xfId="152"/>
    <cellStyle name="20% - Accent6 3 7" xfId="153"/>
    <cellStyle name="20% - Accent6 4" xfId="154"/>
    <cellStyle name="20% - Accent6 4 2" xfId="155"/>
    <cellStyle name="20% - Accent6 4 3" xfId="156"/>
    <cellStyle name="20% - Accent6 4 4" xfId="157"/>
    <cellStyle name="20% - Accent6 4 5" xfId="158"/>
    <cellStyle name="20% - Accent6 4 6" xfId="159"/>
    <cellStyle name="20% - Accent6 4 7" xfId="160"/>
    <cellStyle name="20% - Accent6 5" xfId="161"/>
    <cellStyle name="20% - Accent6 6" xfId="162"/>
    <cellStyle name="40% - Accent1 2" xfId="163"/>
    <cellStyle name="40% - Accent1 2 2" xfId="164"/>
    <cellStyle name="40% - Accent1 2 3" xfId="165"/>
    <cellStyle name="40% - Accent1 2 4" xfId="166"/>
    <cellStyle name="40% - Accent1 2 5" xfId="167"/>
    <cellStyle name="40% - Accent1 2 6" xfId="168"/>
    <cellStyle name="40% - Accent1 2 7" xfId="169"/>
    <cellStyle name="40% - Accent1 3" xfId="170"/>
    <cellStyle name="40% - Accent1 3 2" xfId="171"/>
    <cellStyle name="40% - Accent1 3 3" xfId="172"/>
    <cellStyle name="40% - Accent1 3 4" xfId="173"/>
    <cellStyle name="40% - Accent1 3 5" xfId="174"/>
    <cellStyle name="40% - Accent1 3 6" xfId="175"/>
    <cellStyle name="40% - Accent1 3 7" xfId="176"/>
    <cellStyle name="40% - Accent1 4" xfId="177"/>
    <cellStyle name="40% - Accent1 4 2" xfId="178"/>
    <cellStyle name="40% - Accent1 4 3" xfId="179"/>
    <cellStyle name="40% - Accent1 4 4" xfId="180"/>
    <cellStyle name="40% - Accent1 4 5" xfId="181"/>
    <cellStyle name="40% - Accent1 4 6" xfId="182"/>
    <cellStyle name="40% - Accent1 4 7" xfId="183"/>
    <cellStyle name="40% - Accent1 5" xfId="184"/>
    <cellStyle name="40% - Accent1 6" xfId="185"/>
    <cellStyle name="40% - Accent2 2" xfId="186"/>
    <cellStyle name="40% - Accent2 2 2" xfId="187"/>
    <cellStyle name="40% - Accent2 2 3" xfId="188"/>
    <cellStyle name="40% - Accent2 2 4" xfId="189"/>
    <cellStyle name="40% - Accent2 2 5" xfId="190"/>
    <cellStyle name="40% - Accent2 2 6" xfId="191"/>
    <cellStyle name="40% - Accent2 2 7" xfId="192"/>
    <cellStyle name="40% - Accent2 3" xfId="193"/>
    <cellStyle name="40% - Accent2 3 2" xfId="194"/>
    <cellStyle name="40% - Accent2 3 3" xfId="195"/>
    <cellStyle name="40% - Accent2 3 4" xfId="196"/>
    <cellStyle name="40% - Accent2 3 5" xfId="197"/>
    <cellStyle name="40% - Accent2 3 6" xfId="198"/>
    <cellStyle name="40% - Accent2 3 7" xfId="199"/>
    <cellStyle name="40% - Accent2 4" xfId="200"/>
    <cellStyle name="40% - Accent2 4 2" xfId="201"/>
    <cellStyle name="40% - Accent2 4 3" xfId="202"/>
    <cellStyle name="40% - Accent2 4 4" xfId="203"/>
    <cellStyle name="40% - Accent2 4 5" xfId="204"/>
    <cellStyle name="40% - Accent2 4 6" xfId="205"/>
    <cellStyle name="40% - Accent2 4 7" xfId="206"/>
    <cellStyle name="40% - Accent2 5" xfId="207"/>
    <cellStyle name="40% - Accent2 6" xfId="208"/>
    <cellStyle name="40% - Accent3 2" xfId="209"/>
    <cellStyle name="40% - Accent3 2 2" xfId="210"/>
    <cellStyle name="40% - Accent3 2 3" xfId="211"/>
    <cellStyle name="40% - Accent3 2 4" xfId="212"/>
    <cellStyle name="40% - Accent3 2 5" xfId="213"/>
    <cellStyle name="40% - Accent3 2 6" xfId="214"/>
    <cellStyle name="40% - Accent3 2 7" xfId="215"/>
    <cellStyle name="40% - Accent3 3" xfId="216"/>
    <cellStyle name="40% - Accent3 3 2" xfId="217"/>
    <cellStyle name="40% - Accent3 3 3" xfId="218"/>
    <cellStyle name="40% - Accent3 3 4" xfId="219"/>
    <cellStyle name="40% - Accent3 3 5" xfId="220"/>
    <cellStyle name="40% - Accent3 3 6" xfId="221"/>
    <cellStyle name="40% - Accent3 3 7" xfId="222"/>
    <cellStyle name="40% - Accent3 4" xfId="223"/>
    <cellStyle name="40% - Accent3 4 2" xfId="224"/>
    <cellStyle name="40% - Accent3 4 3" xfId="225"/>
    <cellStyle name="40% - Accent3 4 4" xfId="226"/>
    <cellStyle name="40% - Accent3 4 5" xfId="227"/>
    <cellStyle name="40% - Accent3 4 6" xfId="228"/>
    <cellStyle name="40% - Accent3 4 7" xfId="229"/>
    <cellStyle name="40% - Accent3 5" xfId="230"/>
    <cellStyle name="40% - Accent3 6" xfId="231"/>
    <cellStyle name="40% - Accent4 2" xfId="232"/>
    <cellStyle name="40% - Accent4 2 2" xfId="233"/>
    <cellStyle name="40% - Accent4 2 3" xfId="234"/>
    <cellStyle name="40% - Accent4 2 4" xfId="235"/>
    <cellStyle name="40% - Accent4 2 5" xfId="236"/>
    <cellStyle name="40% - Accent4 2 6" xfId="237"/>
    <cellStyle name="40% - Accent4 2 7" xfId="238"/>
    <cellStyle name="40% - Accent4 3" xfId="239"/>
    <cellStyle name="40% - Accent4 3 2" xfId="240"/>
    <cellStyle name="40% - Accent4 3 3" xfId="241"/>
    <cellStyle name="40% - Accent4 3 4" xfId="242"/>
    <cellStyle name="40% - Accent4 3 5" xfId="243"/>
    <cellStyle name="40% - Accent4 3 6" xfId="244"/>
    <cellStyle name="40% - Accent4 3 7" xfId="245"/>
    <cellStyle name="40% - Accent4 4" xfId="246"/>
    <cellStyle name="40% - Accent4 4 2" xfId="247"/>
    <cellStyle name="40% - Accent4 4 3" xfId="248"/>
    <cellStyle name="40% - Accent4 4 4" xfId="249"/>
    <cellStyle name="40% - Accent4 4 5" xfId="250"/>
    <cellStyle name="40% - Accent4 4 6" xfId="251"/>
    <cellStyle name="40% - Accent4 4 7" xfId="252"/>
    <cellStyle name="40% - Accent4 5" xfId="253"/>
    <cellStyle name="40% - Accent4 6" xfId="254"/>
    <cellStyle name="40% - Accent5 2" xfId="255"/>
    <cellStyle name="40% - Accent5 2 2" xfId="256"/>
    <cellStyle name="40% - Accent5 2 3" xfId="257"/>
    <cellStyle name="40% - Accent5 2 4" xfId="258"/>
    <cellStyle name="40% - Accent5 2 5" xfId="259"/>
    <cellStyle name="40% - Accent5 2 6" xfId="260"/>
    <cellStyle name="40% - Accent5 2 7" xfId="261"/>
    <cellStyle name="40% - Accent5 3" xfId="262"/>
    <cellStyle name="40% - Accent5 3 2" xfId="263"/>
    <cellStyle name="40% - Accent5 3 3" xfId="264"/>
    <cellStyle name="40% - Accent5 3 4" xfId="265"/>
    <cellStyle name="40% - Accent5 3 5" xfId="266"/>
    <cellStyle name="40% - Accent5 3 6" xfId="267"/>
    <cellStyle name="40% - Accent5 3 7" xfId="268"/>
    <cellStyle name="40% - Accent5 4" xfId="269"/>
    <cellStyle name="40% - Accent5 4 2" xfId="270"/>
    <cellStyle name="40% - Accent5 4 3" xfId="271"/>
    <cellStyle name="40% - Accent5 4 4" xfId="272"/>
    <cellStyle name="40% - Accent5 4 5" xfId="273"/>
    <cellStyle name="40% - Accent5 4 6" xfId="274"/>
    <cellStyle name="40% - Accent5 4 7" xfId="275"/>
    <cellStyle name="40% - Accent5 5" xfId="276"/>
    <cellStyle name="40% - Accent5 6" xfId="277"/>
    <cellStyle name="40% - Accent6 2" xfId="278"/>
    <cellStyle name="40% - Accent6 2 2" xfId="279"/>
    <cellStyle name="40% - Accent6 2 3" xfId="280"/>
    <cellStyle name="40% - Accent6 2 4" xfId="281"/>
    <cellStyle name="40% - Accent6 2 5" xfId="282"/>
    <cellStyle name="40% - Accent6 2 6" xfId="283"/>
    <cellStyle name="40% - Accent6 2 7" xfId="284"/>
    <cellStyle name="40% - Accent6 3" xfId="285"/>
    <cellStyle name="40% - Accent6 3 2" xfId="286"/>
    <cellStyle name="40% - Accent6 3 3" xfId="287"/>
    <cellStyle name="40% - Accent6 3 4" xfId="288"/>
    <cellStyle name="40% - Accent6 3 5" xfId="289"/>
    <cellStyle name="40% - Accent6 3 6" xfId="290"/>
    <cellStyle name="40% - Accent6 3 7" xfId="291"/>
    <cellStyle name="40% - Accent6 4" xfId="292"/>
    <cellStyle name="40% - Accent6 4 2" xfId="293"/>
    <cellStyle name="40% - Accent6 4 3" xfId="294"/>
    <cellStyle name="40% - Accent6 4 4" xfId="295"/>
    <cellStyle name="40% - Accent6 4 5" xfId="296"/>
    <cellStyle name="40% - Accent6 4 6" xfId="297"/>
    <cellStyle name="40% - Accent6 4 7" xfId="298"/>
    <cellStyle name="40% - Accent6 5" xfId="299"/>
    <cellStyle name="40% - Accent6 6" xfId="300"/>
    <cellStyle name="60% - Accent1 2" xfId="301"/>
    <cellStyle name="60% - Accent1 2 2" xfId="302"/>
    <cellStyle name="60% - Accent1 2 3" xfId="303"/>
    <cellStyle name="60% - Accent1 2 4" xfId="304"/>
    <cellStyle name="60% - Accent1 2 5" xfId="305"/>
    <cellStyle name="60% - Accent1 2 6" xfId="306"/>
    <cellStyle name="60% - Accent1 2 7" xfId="307"/>
    <cellStyle name="60% - Accent1 3" xfId="308"/>
    <cellStyle name="60% - Accent1 3 2" xfId="309"/>
    <cellStyle name="60% - Accent1 3 3" xfId="310"/>
    <cellStyle name="60% - Accent1 3 4" xfId="311"/>
    <cellStyle name="60% - Accent1 3 5" xfId="312"/>
    <cellStyle name="60% - Accent1 3 6" xfId="313"/>
    <cellStyle name="60% - Accent1 3 7" xfId="314"/>
    <cellStyle name="60% - Accent1 4" xfId="315"/>
    <cellStyle name="60% - Accent1 4 2" xfId="316"/>
    <cellStyle name="60% - Accent1 4 3" xfId="317"/>
    <cellStyle name="60% - Accent1 4 4" xfId="318"/>
    <cellStyle name="60% - Accent1 4 5" xfId="319"/>
    <cellStyle name="60% - Accent1 4 6" xfId="320"/>
    <cellStyle name="60% - Accent1 4 7" xfId="321"/>
    <cellStyle name="60% - Accent1 5" xfId="322"/>
    <cellStyle name="60% - Accent1 6" xfId="323"/>
    <cellStyle name="60% - Accent2 2" xfId="324"/>
    <cellStyle name="60% - Accent2 2 2" xfId="325"/>
    <cellStyle name="60% - Accent2 2 3" xfId="326"/>
    <cellStyle name="60% - Accent2 2 4" xfId="327"/>
    <cellStyle name="60% - Accent2 2 5" xfId="328"/>
    <cellStyle name="60% - Accent2 2 6" xfId="329"/>
    <cellStyle name="60% - Accent2 2 7" xfId="330"/>
    <cellStyle name="60% - Accent2 3" xfId="331"/>
    <cellStyle name="60% - Accent2 3 2" xfId="332"/>
    <cellStyle name="60% - Accent2 3 3" xfId="333"/>
    <cellStyle name="60% - Accent2 3 4" xfId="334"/>
    <cellStyle name="60% - Accent2 3 5" xfId="335"/>
    <cellStyle name="60% - Accent2 3 6" xfId="336"/>
    <cellStyle name="60% - Accent2 3 7" xfId="337"/>
    <cellStyle name="60% - Accent2 4" xfId="338"/>
    <cellStyle name="60% - Accent2 4 2" xfId="339"/>
    <cellStyle name="60% - Accent2 4 3" xfId="340"/>
    <cellStyle name="60% - Accent2 4 4" xfId="341"/>
    <cellStyle name="60% - Accent2 4 5" xfId="342"/>
    <cellStyle name="60% - Accent2 4 6" xfId="343"/>
    <cellStyle name="60% - Accent2 4 7" xfId="344"/>
    <cellStyle name="60% - Accent2 5" xfId="345"/>
    <cellStyle name="60% - Accent2 6" xfId="346"/>
    <cellStyle name="60% - Accent3 2" xfId="347"/>
    <cellStyle name="60% - Accent3 2 2" xfId="348"/>
    <cellStyle name="60% - Accent3 2 3" xfId="349"/>
    <cellStyle name="60% - Accent3 2 4" xfId="350"/>
    <cellStyle name="60% - Accent3 2 5" xfId="351"/>
    <cellStyle name="60% - Accent3 2 6" xfId="352"/>
    <cellStyle name="60% - Accent3 2 7" xfId="353"/>
    <cellStyle name="60% - Accent3 3" xfId="354"/>
    <cellStyle name="60% - Accent3 3 2" xfId="355"/>
    <cellStyle name="60% - Accent3 3 3" xfId="356"/>
    <cellStyle name="60% - Accent3 3 4" xfId="357"/>
    <cellStyle name="60% - Accent3 3 5" xfId="358"/>
    <cellStyle name="60% - Accent3 3 6" xfId="359"/>
    <cellStyle name="60% - Accent3 3 7" xfId="360"/>
    <cellStyle name="60% - Accent3 4" xfId="361"/>
    <cellStyle name="60% - Accent3 4 2" xfId="362"/>
    <cellStyle name="60% - Accent3 4 3" xfId="363"/>
    <cellStyle name="60% - Accent3 4 4" xfId="364"/>
    <cellStyle name="60% - Accent3 4 5" xfId="365"/>
    <cellStyle name="60% - Accent3 4 6" xfId="366"/>
    <cellStyle name="60% - Accent3 4 7" xfId="367"/>
    <cellStyle name="60% - Accent3 5" xfId="368"/>
    <cellStyle name="60% - Accent3 6" xfId="369"/>
    <cellStyle name="60% - Accent4 2" xfId="370"/>
    <cellStyle name="60% - Accent4 2 2" xfId="371"/>
    <cellStyle name="60% - Accent4 2 3" xfId="372"/>
    <cellStyle name="60% - Accent4 2 4" xfId="373"/>
    <cellStyle name="60% - Accent4 2 5" xfId="374"/>
    <cellStyle name="60% - Accent4 2 6" xfId="375"/>
    <cellStyle name="60% - Accent4 2 7" xfId="376"/>
    <cellStyle name="60% - Accent4 3" xfId="377"/>
    <cellStyle name="60% - Accent4 3 2" xfId="378"/>
    <cellStyle name="60% - Accent4 3 3" xfId="379"/>
    <cellStyle name="60% - Accent4 3 4" xfId="380"/>
    <cellStyle name="60% - Accent4 3 5" xfId="381"/>
    <cellStyle name="60% - Accent4 3 6" xfId="382"/>
    <cellStyle name="60% - Accent4 3 7" xfId="383"/>
    <cellStyle name="60% - Accent4 4" xfId="384"/>
    <cellStyle name="60% - Accent4 4 2" xfId="385"/>
    <cellStyle name="60% - Accent4 4 3" xfId="386"/>
    <cellStyle name="60% - Accent4 4 4" xfId="387"/>
    <cellStyle name="60% - Accent4 4 5" xfId="388"/>
    <cellStyle name="60% - Accent4 4 6" xfId="389"/>
    <cellStyle name="60% - Accent4 4 7" xfId="390"/>
    <cellStyle name="60% - Accent4 5" xfId="391"/>
    <cellStyle name="60% - Accent4 6" xfId="392"/>
    <cellStyle name="60% - Accent5 2" xfId="393"/>
    <cellStyle name="60% - Accent5 2 2" xfId="394"/>
    <cellStyle name="60% - Accent5 2 3" xfId="395"/>
    <cellStyle name="60% - Accent5 2 4" xfId="396"/>
    <cellStyle name="60% - Accent5 2 5" xfId="397"/>
    <cellStyle name="60% - Accent5 2 6" xfId="398"/>
    <cellStyle name="60% - Accent5 2 7" xfId="399"/>
    <cellStyle name="60% - Accent5 3" xfId="400"/>
    <cellStyle name="60% - Accent5 3 2" xfId="401"/>
    <cellStyle name="60% - Accent5 3 3" xfId="402"/>
    <cellStyle name="60% - Accent5 3 4" xfId="403"/>
    <cellStyle name="60% - Accent5 3 5" xfId="404"/>
    <cellStyle name="60% - Accent5 3 6" xfId="405"/>
    <cellStyle name="60% - Accent5 3 7" xfId="406"/>
    <cellStyle name="60% - Accent5 4" xfId="407"/>
    <cellStyle name="60% - Accent5 4 2" xfId="408"/>
    <cellStyle name="60% - Accent5 4 3" xfId="409"/>
    <cellStyle name="60% - Accent5 4 4" xfId="410"/>
    <cellStyle name="60% - Accent5 4 5" xfId="411"/>
    <cellStyle name="60% - Accent5 4 6" xfId="412"/>
    <cellStyle name="60% - Accent5 4 7" xfId="413"/>
    <cellStyle name="60% - Accent5 5" xfId="414"/>
    <cellStyle name="60% - Accent5 6" xfId="415"/>
    <cellStyle name="60% - Accent6 2" xfId="416"/>
    <cellStyle name="60% - Accent6 2 2" xfId="417"/>
    <cellStyle name="60% - Accent6 2 3" xfId="418"/>
    <cellStyle name="60% - Accent6 2 4" xfId="419"/>
    <cellStyle name="60% - Accent6 2 5" xfId="420"/>
    <cellStyle name="60% - Accent6 2 6" xfId="421"/>
    <cellStyle name="60% - Accent6 2 7" xfId="422"/>
    <cellStyle name="60% - Accent6 3" xfId="423"/>
    <cellStyle name="60% - Accent6 3 2" xfId="424"/>
    <cellStyle name="60% - Accent6 3 3" xfId="425"/>
    <cellStyle name="60% - Accent6 3 4" xfId="426"/>
    <cellStyle name="60% - Accent6 3 5" xfId="427"/>
    <cellStyle name="60% - Accent6 3 6" xfId="428"/>
    <cellStyle name="60% - Accent6 3 7" xfId="429"/>
    <cellStyle name="60% - Accent6 4" xfId="430"/>
    <cellStyle name="60% - Accent6 4 2" xfId="431"/>
    <cellStyle name="60% - Accent6 4 3" xfId="432"/>
    <cellStyle name="60% - Accent6 4 4" xfId="433"/>
    <cellStyle name="60% - Accent6 4 5" xfId="434"/>
    <cellStyle name="60% - Accent6 4 6" xfId="435"/>
    <cellStyle name="60% - Accent6 4 7" xfId="436"/>
    <cellStyle name="60% - Accent6 5" xfId="437"/>
    <cellStyle name="60% - Accent6 6" xfId="438"/>
    <cellStyle name="Accent1 2" xfId="439"/>
    <cellStyle name="Accent1 2 2" xfId="440"/>
    <cellStyle name="Accent1 2 3" xfId="441"/>
    <cellStyle name="Accent1 2 4" xfId="442"/>
    <cellStyle name="Accent1 2 5" xfId="443"/>
    <cellStyle name="Accent1 2 6" xfId="444"/>
    <cellStyle name="Accent1 2 7" xfId="445"/>
    <cellStyle name="Accent1 3" xfId="446"/>
    <cellStyle name="Accent1 3 2" xfId="447"/>
    <cellStyle name="Accent1 3 3" xfId="448"/>
    <cellStyle name="Accent1 3 4" xfId="449"/>
    <cellStyle name="Accent1 3 5" xfId="450"/>
    <cellStyle name="Accent1 3 6" xfId="451"/>
    <cellStyle name="Accent1 3 7" xfId="452"/>
    <cellStyle name="Accent1 4" xfId="453"/>
    <cellStyle name="Accent1 4 2" xfId="454"/>
    <cellStyle name="Accent1 4 3" xfId="455"/>
    <cellStyle name="Accent1 4 4" xfId="456"/>
    <cellStyle name="Accent1 4 5" xfId="457"/>
    <cellStyle name="Accent1 4 6" xfId="458"/>
    <cellStyle name="Accent1 4 7" xfId="459"/>
    <cellStyle name="Accent1 5" xfId="460"/>
    <cellStyle name="Accent1 6" xfId="461"/>
    <cellStyle name="Accent2 2" xfId="462"/>
    <cellStyle name="Accent2 2 2" xfId="463"/>
    <cellStyle name="Accent2 2 3" xfId="464"/>
    <cellStyle name="Accent2 2 4" xfId="465"/>
    <cellStyle name="Accent2 2 5" xfId="466"/>
    <cellStyle name="Accent2 2 6" xfId="467"/>
    <cellStyle name="Accent2 2 7" xfId="468"/>
    <cellStyle name="Accent2 3" xfId="469"/>
    <cellStyle name="Accent2 3 2" xfId="470"/>
    <cellStyle name="Accent2 3 3" xfId="471"/>
    <cellStyle name="Accent2 3 4" xfId="472"/>
    <cellStyle name="Accent2 3 5" xfId="473"/>
    <cellStyle name="Accent2 3 6" xfId="474"/>
    <cellStyle name="Accent2 3 7" xfId="475"/>
    <cellStyle name="Accent2 4" xfId="476"/>
    <cellStyle name="Accent2 4 2" xfId="477"/>
    <cellStyle name="Accent2 4 3" xfId="478"/>
    <cellStyle name="Accent2 4 4" xfId="479"/>
    <cellStyle name="Accent2 4 5" xfId="480"/>
    <cellStyle name="Accent2 4 6" xfId="481"/>
    <cellStyle name="Accent2 4 7" xfId="482"/>
    <cellStyle name="Accent2 5" xfId="483"/>
    <cellStyle name="Accent2 6" xfId="484"/>
    <cellStyle name="Accent3 2" xfId="485"/>
    <cellStyle name="Accent3 2 2" xfId="486"/>
    <cellStyle name="Accent3 2 3" xfId="487"/>
    <cellStyle name="Accent3 2 4" xfId="488"/>
    <cellStyle name="Accent3 2 5" xfId="489"/>
    <cellStyle name="Accent3 2 6" xfId="490"/>
    <cellStyle name="Accent3 2 7" xfId="491"/>
    <cellStyle name="Accent3 3" xfId="492"/>
    <cellStyle name="Accent3 3 2" xfId="493"/>
    <cellStyle name="Accent3 3 3" xfId="494"/>
    <cellStyle name="Accent3 3 4" xfId="495"/>
    <cellStyle name="Accent3 3 5" xfId="496"/>
    <cellStyle name="Accent3 3 6" xfId="497"/>
    <cellStyle name="Accent3 3 7" xfId="498"/>
    <cellStyle name="Accent3 4" xfId="499"/>
    <cellStyle name="Accent3 4 2" xfId="500"/>
    <cellStyle name="Accent3 4 3" xfId="501"/>
    <cellStyle name="Accent3 4 4" xfId="502"/>
    <cellStyle name="Accent3 4 5" xfId="503"/>
    <cellStyle name="Accent3 4 6" xfId="504"/>
    <cellStyle name="Accent3 4 7" xfId="505"/>
    <cellStyle name="Accent3 5" xfId="506"/>
    <cellStyle name="Accent3 6" xfId="507"/>
    <cellStyle name="Accent4 2" xfId="508"/>
    <cellStyle name="Accent4 2 2" xfId="509"/>
    <cellStyle name="Accent4 2 3" xfId="510"/>
    <cellStyle name="Accent4 2 4" xfId="511"/>
    <cellStyle name="Accent4 2 5" xfId="512"/>
    <cellStyle name="Accent4 2 6" xfId="513"/>
    <cellStyle name="Accent4 2 7" xfId="514"/>
    <cellStyle name="Accent4 3" xfId="515"/>
    <cellStyle name="Accent4 3 2" xfId="516"/>
    <cellStyle name="Accent4 3 3" xfId="517"/>
    <cellStyle name="Accent4 3 4" xfId="518"/>
    <cellStyle name="Accent4 3 5" xfId="519"/>
    <cellStyle name="Accent4 3 6" xfId="520"/>
    <cellStyle name="Accent4 3 7" xfId="521"/>
    <cellStyle name="Accent4 4" xfId="522"/>
    <cellStyle name="Accent4 4 2" xfId="523"/>
    <cellStyle name="Accent4 4 3" xfId="524"/>
    <cellStyle name="Accent4 4 4" xfId="525"/>
    <cellStyle name="Accent4 4 5" xfId="526"/>
    <cellStyle name="Accent4 4 6" xfId="527"/>
    <cellStyle name="Accent4 4 7" xfId="528"/>
    <cellStyle name="Accent4 5" xfId="529"/>
    <cellStyle name="Accent4 6" xfId="530"/>
    <cellStyle name="Accent5 2" xfId="531"/>
    <cellStyle name="Accent5 2 2" xfId="532"/>
    <cellStyle name="Accent5 2 3" xfId="533"/>
    <cellStyle name="Accent5 2 4" xfId="534"/>
    <cellStyle name="Accent5 2 5" xfId="535"/>
    <cellStyle name="Accent5 2 6" xfId="536"/>
    <cellStyle name="Accent5 2 7" xfId="537"/>
    <cellStyle name="Accent5 3" xfId="538"/>
    <cellStyle name="Accent5 3 2" xfId="539"/>
    <cellStyle name="Accent5 3 3" xfId="540"/>
    <cellStyle name="Accent5 3 4" xfId="541"/>
    <cellStyle name="Accent5 3 5" xfId="542"/>
    <cellStyle name="Accent5 3 6" xfId="543"/>
    <cellStyle name="Accent5 3 7" xfId="544"/>
    <cellStyle name="Accent5 4" xfId="545"/>
    <cellStyle name="Accent5 4 2" xfId="546"/>
    <cellStyle name="Accent5 4 3" xfId="547"/>
    <cellStyle name="Accent5 4 4" xfId="548"/>
    <cellStyle name="Accent5 4 5" xfId="549"/>
    <cellStyle name="Accent5 4 6" xfId="550"/>
    <cellStyle name="Accent5 4 7" xfId="551"/>
    <cellStyle name="Accent5 5" xfId="552"/>
    <cellStyle name="Accent5 6" xfId="553"/>
    <cellStyle name="Accent6 2" xfId="554"/>
    <cellStyle name="Accent6 2 2" xfId="555"/>
    <cellStyle name="Accent6 2 3" xfId="556"/>
    <cellStyle name="Accent6 2 4" xfId="557"/>
    <cellStyle name="Accent6 2 5" xfId="558"/>
    <cellStyle name="Accent6 2 6" xfId="559"/>
    <cellStyle name="Accent6 2 7" xfId="560"/>
    <cellStyle name="Accent6 3" xfId="561"/>
    <cellStyle name="Accent6 3 2" xfId="562"/>
    <cellStyle name="Accent6 3 3" xfId="563"/>
    <cellStyle name="Accent6 3 4" xfId="564"/>
    <cellStyle name="Accent6 3 5" xfId="565"/>
    <cellStyle name="Accent6 3 6" xfId="566"/>
    <cellStyle name="Accent6 3 7" xfId="567"/>
    <cellStyle name="Accent6 4" xfId="568"/>
    <cellStyle name="Accent6 4 2" xfId="569"/>
    <cellStyle name="Accent6 4 3" xfId="570"/>
    <cellStyle name="Accent6 4 4" xfId="571"/>
    <cellStyle name="Accent6 4 5" xfId="572"/>
    <cellStyle name="Accent6 4 6" xfId="573"/>
    <cellStyle name="Accent6 4 7" xfId="574"/>
    <cellStyle name="Accent6 5" xfId="575"/>
    <cellStyle name="Accent6 6" xfId="576"/>
    <cellStyle name="Bad 2" xfId="577"/>
    <cellStyle name="Bad 2 2" xfId="578"/>
    <cellStyle name="Bad 2 3" xfId="579"/>
    <cellStyle name="Bad 2 4" xfId="580"/>
    <cellStyle name="Bad 2 5" xfId="581"/>
    <cellStyle name="Bad 2 6" xfId="582"/>
    <cellStyle name="Bad 2 7" xfId="583"/>
    <cellStyle name="Bad 3" xfId="584"/>
    <cellStyle name="Bad 3 2" xfId="585"/>
    <cellStyle name="Bad 3 3" xfId="586"/>
    <cellStyle name="Bad 3 4" xfId="587"/>
    <cellStyle name="Bad 3 5" xfId="588"/>
    <cellStyle name="Bad 3 6" xfId="589"/>
    <cellStyle name="Bad 3 7" xfId="590"/>
    <cellStyle name="Bad 4" xfId="591"/>
    <cellStyle name="Bad 4 2" xfId="592"/>
    <cellStyle name="Bad 4 3" xfId="593"/>
    <cellStyle name="Bad 4 4" xfId="594"/>
    <cellStyle name="Bad 4 5" xfId="595"/>
    <cellStyle name="Bad 4 6" xfId="596"/>
    <cellStyle name="Bad 4 7" xfId="597"/>
    <cellStyle name="Bad 5" xfId="598"/>
    <cellStyle name="Bad 6" xfId="599"/>
    <cellStyle name="Calculation 2" xfId="600"/>
    <cellStyle name="Calculation 2 2" xfId="601"/>
    <cellStyle name="Calculation 2 3" xfId="602"/>
    <cellStyle name="Calculation 2 4" xfId="603"/>
    <cellStyle name="Calculation 2 5" xfId="604"/>
    <cellStyle name="Calculation 2 6" xfId="605"/>
    <cellStyle name="Calculation 2 7" xfId="606"/>
    <cellStyle name="Calculation 3" xfId="607"/>
    <cellStyle name="Calculation 3 2" xfId="608"/>
    <cellStyle name="Calculation 3 3" xfId="609"/>
    <cellStyle name="Calculation 3 4" xfId="610"/>
    <cellStyle name="Calculation 3 5" xfId="611"/>
    <cellStyle name="Calculation 3 6" xfId="612"/>
    <cellStyle name="Calculation 3 7" xfId="613"/>
    <cellStyle name="Calculation 4" xfId="614"/>
    <cellStyle name="Calculation 4 2" xfId="615"/>
    <cellStyle name="Calculation 4 3" xfId="616"/>
    <cellStyle name="Calculation 4 4" xfId="617"/>
    <cellStyle name="Calculation 4 5" xfId="618"/>
    <cellStyle name="Calculation 4 6" xfId="619"/>
    <cellStyle name="Calculation 4 7" xfId="620"/>
    <cellStyle name="Calculation 5" xfId="621"/>
    <cellStyle name="Calculation 6" xfId="622"/>
    <cellStyle name="Check Cell 2" xfId="623"/>
    <cellStyle name="Check Cell 2 2" xfId="624"/>
    <cellStyle name="Check Cell 2 3" xfId="625"/>
    <cellStyle name="Check Cell 2 4" xfId="626"/>
    <cellStyle name="Check Cell 2 5" xfId="627"/>
    <cellStyle name="Check Cell 2 6" xfId="628"/>
    <cellStyle name="Check Cell 2 7" xfId="629"/>
    <cellStyle name="Check Cell 3" xfId="630"/>
    <cellStyle name="Check Cell 3 2" xfId="631"/>
    <cellStyle name="Check Cell 3 3" xfId="632"/>
    <cellStyle name="Check Cell 3 4" xfId="633"/>
    <cellStyle name="Check Cell 3 5" xfId="634"/>
    <cellStyle name="Check Cell 3 6" xfId="635"/>
    <cellStyle name="Check Cell 3 7" xfId="636"/>
    <cellStyle name="Check Cell 4" xfId="637"/>
    <cellStyle name="Check Cell 4 2" xfId="638"/>
    <cellStyle name="Check Cell 4 3" xfId="639"/>
    <cellStyle name="Check Cell 4 4" xfId="640"/>
    <cellStyle name="Check Cell 4 5" xfId="641"/>
    <cellStyle name="Check Cell 4 6" xfId="642"/>
    <cellStyle name="Check Cell 4 7" xfId="643"/>
    <cellStyle name="Check Cell 5" xfId="644"/>
    <cellStyle name="Check Cell 6" xfId="645"/>
    <cellStyle name="Comma 2" xfId="646"/>
    <cellStyle name="Comma 2 2" xfId="647"/>
    <cellStyle name="Comma 2 3" xfId="648"/>
    <cellStyle name="Comma 2 4" xfId="649"/>
    <cellStyle name="Comma 2 5" xfId="650"/>
    <cellStyle name="Comma 2 6" xfId="651"/>
    <cellStyle name="Comma 2 7" xfId="652"/>
    <cellStyle name="Comma 3" xfId="653"/>
    <cellStyle name="Comma 4" xfId="654"/>
    <cellStyle name="Comma 4 10" xfId="655"/>
    <cellStyle name="Comma 4 11" xfId="656"/>
    <cellStyle name="Comma 4 12" xfId="657"/>
    <cellStyle name="Comma 4 13" xfId="658"/>
    <cellStyle name="Comma 4 2" xfId="659"/>
    <cellStyle name="Comma 4 2 10" xfId="660"/>
    <cellStyle name="Comma 4 2 10 2" xfId="661"/>
    <cellStyle name="Comma 4 2 11" xfId="662"/>
    <cellStyle name="Comma 4 2 12" xfId="663"/>
    <cellStyle name="Comma 4 2 13" xfId="664"/>
    <cellStyle name="Comma 4 2 2" xfId="665"/>
    <cellStyle name="Comma 4 2 2 2" xfId="666"/>
    <cellStyle name="Comma 4 2 2 2 10" xfId="667"/>
    <cellStyle name="Comma 4 2 2 2 11" xfId="668"/>
    <cellStyle name="Comma 4 2 2 2 12" xfId="669"/>
    <cellStyle name="Comma 4 2 2 2 13" xfId="670"/>
    <cellStyle name="Comma 4 2 2 2 14" xfId="671"/>
    <cellStyle name="Comma 4 2 2 2 15" xfId="672"/>
    <cellStyle name="Comma 4 2 2 2 16" xfId="1295"/>
    <cellStyle name="Comma 4 2 2 2 17" xfId="1296"/>
    <cellStyle name="Comma 4 2 2 2 18" xfId="1297"/>
    <cellStyle name="Comma 4 2 2 2 19" xfId="1298"/>
    <cellStyle name="Comma 4 2 2 2 2" xfId="673"/>
    <cellStyle name="Comma 4 2 2 2 20" xfId="1299"/>
    <cellStyle name="Comma 4 2 2 2 21" xfId="1300"/>
    <cellStyle name="Comma 4 2 2 2 3" xfId="674"/>
    <cellStyle name="Comma 4 2 2 2 4" xfId="675"/>
    <cellStyle name="Comma 4 2 2 2 5" xfId="676"/>
    <cellStyle name="Comma 4 2 2 2 6" xfId="677"/>
    <cellStyle name="Comma 4 2 2 2 7" xfId="678"/>
    <cellStyle name="Comma 4 2 2 2 8" xfId="679"/>
    <cellStyle name="Comma 4 2 2 2 9" xfId="680"/>
    <cellStyle name="Comma 4 2 2 3" xfId="681"/>
    <cellStyle name="Comma 4 2 3" xfId="682"/>
    <cellStyle name="Comma 4 2 4" xfId="683"/>
    <cellStyle name="Comma 4 2 5" xfId="684"/>
    <cellStyle name="Comma 4 2 6" xfId="685"/>
    <cellStyle name="Comma 4 2 7" xfId="686"/>
    <cellStyle name="Comma 4 2 8" xfId="687"/>
    <cellStyle name="Comma 4 2 9" xfId="688"/>
    <cellStyle name="Comma 4 3" xfId="689"/>
    <cellStyle name="Comma 4 4" xfId="690"/>
    <cellStyle name="Comma 4 5" xfId="691"/>
    <cellStyle name="Comma 4 6" xfId="692"/>
    <cellStyle name="Comma 4 7" xfId="693"/>
    <cellStyle name="Comma 4 8" xfId="694"/>
    <cellStyle name="Comma 4 9" xfId="695"/>
    <cellStyle name="Currency 2" xfId="696"/>
    <cellStyle name="Date" xfId="697"/>
    <cellStyle name="Explanatory Text 2" xfId="698"/>
    <cellStyle name="Explanatory Text 2 2" xfId="699"/>
    <cellStyle name="Explanatory Text 2 3" xfId="700"/>
    <cellStyle name="Explanatory Text 2 4" xfId="701"/>
    <cellStyle name="Explanatory Text 2 5" xfId="702"/>
    <cellStyle name="Explanatory Text 2 6" xfId="703"/>
    <cellStyle name="Explanatory Text 2 7" xfId="704"/>
    <cellStyle name="Explanatory Text 3" xfId="705"/>
    <cellStyle name="Explanatory Text 3 2" xfId="706"/>
    <cellStyle name="Explanatory Text 3 3" xfId="707"/>
    <cellStyle name="Explanatory Text 3 4" xfId="708"/>
    <cellStyle name="Explanatory Text 3 5" xfId="709"/>
    <cellStyle name="Explanatory Text 3 6" xfId="710"/>
    <cellStyle name="Explanatory Text 3 7" xfId="711"/>
    <cellStyle name="Explanatory Text 4" xfId="712"/>
    <cellStyle name="Explanatory Text 4 2" xfId="713"/>
    <cellStyle name="Explanatory Text 4 3" xfId="714"/>
    <cellStyle name="Explanatory Text 4 4" xfId="715"/>
    <cellStyle name="Explanatory Text 4 5" xfId="716"/>
    <cellStyle name="Explanatory Text 4 6" xfId="717"/>
    <cellStyle name="Explanatory Text 4 7" xfId="718"/>
    <cellStyle name="Explanatory Text 5" xfId="719"/>
    <cellStyle name="Explanatory Text 6" xfId="720"/>
    <cellStyle name="F2" xfId="721"/>
    <cellStyle name="F3" xfId="722"/>
    <cellStyle name="F4" xfId="723"/>
    <cellStyle name="F5" xfId="724"/>
    <cellStyle name="F6" xfId="725"/>
    <cellStyle name="F7" xfId="726"/>
    <cellStyle name="F8" xfId="727"/>
    <cellStyle name="Fixed" xfId="728"/>
    <cellStyle name="Good 2" xfId="729"/>
    <cellStyle name="Good 2 2" xfId="730"/>
    <cellStyle name="Good 2 3" xfId="731"/>
    <cellStyle name="Good 2 4" xfId="732"/>
    <cellStyle name="Good 2 5" xfId="733"/>
    <cellStyle name="Good 2 6" xfId="734"/>
    <cellStyle name="Good 2 7" xfId="735"/>
    <cellStyle name="Good 3" xfId="736"/>
    <cellStyle name="Good 3 2" xfId="737"/>
    <cellStyle name="Good 3 3" xfId="738"/>
    <cellStyle name="Good 3 4" xfId="739"/>
    <cellStyle name="Good 3 5" xfId="740"/>
    <cellStyle name="Good 3 6" xfId="741"/>
    <cellStyle name="Good 3 7" xfId="742"/>
    <cellStyle name="Good 4" xfId="743"/>
    <cellStyle name="Good 4 2" xfId="744"/>
    <cellStyle name="Good 4 3" xfId="745"/>
    <cellStyle name="Good 4 4" xfId="746"/>
    <cellStyle name="Good 4 5" xfId="747"/>
    <cellStyle name="Good 4 6" xfId="748"/>
    <cellStyle name="Good 4 7" xfId="749"/>
    <cellStyle name="Good 5" xfId="750"/>
    <cellStyle name="Good 6" xfId="751"/>
    <cellStyle name="Heading 1 2" xfId="752"/>
    <cellStyle name="Heading 1 2 2" xfId="753"/>
    <cellStyle name="Heading 1 2 3" xfId="754"/>
    <cellStyle name="Heading 1 2 4" xfId="755"/>
    <cellStyle name="Heading 1 2 5" xfId="756"/>
    <cellStyle name="Heading 1 2 6" xfId="757"/>
    <cellStyle name="Heading 1 2 7" xfId="758"/>
    <cellStyle name="Heading 1 3" xfId="759"/>
    <cellStyle name="Heading 1 3 2" xfId="760"/>
    <cellStyle name="Heading 1 3 3" xfId="761"/>
    <cellStyle name="Heading 1 3 4" xfId="762"/>
    <cellStyle name="Heading 1 3 5" xfId="763"/>
    <cellStyle name="Heading 1 3 6" xfId="764"/>
    <cellStyle name="Heading 1 3 7" xfId="765"/>
    <cellStyle name="Heading 1 4" xfId="766"/>
    <cellStyle name="Heading 1 4 2" xfId="767"/>
    <cellStyle name="Heading 1 4 3" xfId="768"/>
    <cellStyle name="Heading 1 4 4" xfId="769"/>
    <cellStyle name="Heading 1 4 5" xfId="770"/>
    <cellStyle name="Heading 1 4 6" xfId="771"/>
    <cellStyle name="Heading 1 4 7" xfId="772"/>
    <cellStyle name="Heading 1 5" xfId="773"/>
    <cellStyle name="Heading 1 6" xfId="774"/>
    <cellStyle name="Heading 2 2" xfId="775"/>
    <cellStyle name="Heading 2 2 2" xfId="776"/>
    <cellStyle name="Heading 2 2 3" xfId="777"/>
    <cellStyle name="Heading 2 2 4" xfId="778"/>
    <cellStyle name="Heading 2 2 5" xfId="779"/>
    <cellStyle name="Heading 2 2 6" xfId="780"/>
    <cellStyle name="Heading 2 2 7" xfId="781"/>
    <cellStyle name="Heading 2 3" xfId="782"/>
    <cellStyle name="Heading 2 3 2" xfId="783"/>
    <cellStyle name="Heading 2 3 3" xfId="784"/>
    <cellStyle name="Heading 2 3 4" xfId="785"/>
    <cellStyle name="Heading 2 3 5" xfId="786"/>
    <cellStyle name="Heading 2 3 6" xfId="787"/>
    <cellStyle name="Heading 2 3 7" xfId="788"/>
    <cellStyle name="Heading 2 4" xfId="789"/>
    <cellStyle name="Heading 2 4 2" xfId="790"/>
    <cellStyle name="Heading 2 4 3" xfId="791"/>
    <cellStyle name="Heading 2 4 4" xfId="792"/>
    <cellStyle name="Heading 2 4 5" xfId="793"/>
    <cellStyle name="Heading 2 4 6" xfId="794"/>
    <cellStyle name="Heading 2 4 7" xfId="795"/>
    <cellStyle name="Heading 2 5" xfId="796"/>
    <cellStyle name="Heading 2 6" xfId="797"/>
    <cellStyle name="Heading 3 2" xfId="798"/>
    <cellStyle name="Heading 3 2 2" xfId="799"/>
    <cellStyle name="Heading 3 2 3" xfId="800"/>
    <cellStyle name="Heading 3 2 4" xfId="801"/>
    <cellStyle name="Heading 3 2 5" xfId="802"/>
    <cellStyle name="Heading 3 2 6" xfId="803"/>
    <cellStyle name="Heading 3 2 7" xfId="804"/>
    <cellStyle name="Heading 3 3" xfId="805"/>
    <cellStyle name="Heading 3 3 2" xfId="806"/>
    <cellStyle name="Heading 3 3 3" xfId="807"/>
    <cellStyle name="Heading 3 3 4" xfId="808"/>
    <cellStyle name="Heading 3 3 5" xfId="809"/>
    <cellStyle name="Heading 3 3 6" xfId="810"/>
    <cellStyle name="Heading 3 3 7" xfId="811"/>
    <cellStyle name="Heading 3 4" xfId="812"/>
    <cellStyle name="Heading 3 4 2" xfId="813"/>
    <cellStyle name="Heading 3 4 3" xfId="814"/>
    <cellStyle name="Heading 3 4 4" xfId="815"/>
    <cellStyle name="Heading 3 4 5" xfId="816"/>
    <cellStyle name="Heading 3 4 6" xfId="817"/>
    <cellStyle name="Heading 3 4 7" xfId="818"/>
    <cellStyle name="Heading 3 5" xfId="819"/>
    <cellStyle name="Heading 3 6" xfId="820"/>
    <cellStyle name="Heading 4 2" xfId="821"/>
    <cellStyle name="Heading 4 2 2" xfId="822"/>
    <cellStyle name="Heading 4 2 3" xfId="823"/>
    <cellStyle name="Heading 4 2 4" xfId="824"/>
    <cellStyle name="Heading 4 2 5" xfId="825"/>
    <cellStyle name="Heading 4 2 6" xfId="826"/>
    <cellStyle name="Heading 4 2 7" xfId="827"/>
    <cellStyle name="Heading 4 3" xfId="828"/>
    <cellStyle name="Heading 4 3 2" xfId="829"/>
    <cellStyle name="Heading 4 3 3" xfId="830"/>
    <cellStyle name="Heading 4 3 4" xfId="831"/>
    <cellStyle name="Heading 4 3 5" xfId="832"/>
    <cellStyle name="Heading 4 3 6" xfId="833"/>
    <cellStyle name="Heading 4 3 7" xfId="834"/>
    <cellStyle name="Heading 4 4" xfId="835"/>
    <cellStyle name="Heading 4 4 2" xfId="836"/>
    <cellStyle name="Heading 4 4 3" xfId="837"/>
    <cellStyle name="Heading 4 4 4" xfId="838"/>
    <cellStyle name="Heading 4 4 5" xfId="839"/>
    <cellStyle name="Heading 4 4 6" xfId="840"/>
    <cellStyle name="Heading 4 4 7" xfId="841"/>
    <cellStyle name="Heading 4 5" xfId="842"/>
    <cellStyle name="Heading 4 6" xfId="843"/>
    <cellStyle name="Heading1" xfId="844"/>
    <cellStyle name="Heading2" xfId="845"/>
    <cellStyle name="Hyperlink" xfId="1294" builtinId="8"/>
    <cellStyle name="Hyperlink 2" xfId="846"/>
    <cellStyle name="Hyperlink 3" xfId="847"/>
    <cellStyle name="Input 2" xfId="848"/>
    <cellStyle name="Input 2 2" xfId="849"/>
    <cellStyle name="Input 2 3" xfId="850"/>
    <cellStyle name="Input 2 4" xfId="851"/>
    <cellStyle name="Input 2 5" xfId="852"/>
    <cellStyle name="Input 2 6" xfId="853"/>
    <cellStyle name="Input 2 7" xfId="854"/>
    <cellStyle name="Input 3" xfId="855"/>
    <cellStyle name="Input 3 2" xfId="856"/>
    <cellStyle name="Input 3 3" xfId="857"/>
    <cellStyle name="Input 3 4" xfId="858"/>
    <cellStyle name="Input 3 5" xfId="859"/>
    <cellStyle name="Input 3 6" xfId="860"/>
    <cellStyle name="Input 3 7" xfId="861"/>
    <cellStyle name="Input 4" xfId="862"/>
    <cellStyle name="Input 4 2" xfId="863"/>
    <cellStyle name="Input 4 3" xfId="864"/>
    <cellStyle name="Input 4 4" xfId="865"/>
    <cellStyle name="Input 4 5" xfId="866"/>
    <cellStyle name="Input 4 6" xfId="867"/>
    <cellStyle name="Input 4 7" xfId="868"/>
    <cellStyle name="Input 5" xfId="869"/>
    <cellStyle name="Input 6" xfId="870"/>
    <cellStyle name="Linked Cell 2" xfId="871"/>
    <cellStyle name="Linked Cell 2 2" xfId="872"/>
    <cellStyle name="Linked Cell 2 3" xfId="873"/>
    <cellStyle name="Linked Cell 2 4" xfId="874"/>
    <cellStyle name="Linked Cell 2 5" xfId="875"/>
    <cellStyle name="Linked Cell 2 6" xfId="876"/>
    <cellStyle name="Linked Cell 2 7" xfId="877"/>
    <cellStyle name="Linked Cell 3" xfId="878"/>
    <cellStyle name="Linked Cell 3 2" xfId="879"/>
    <cellStyle name="Linked Cell 3 3" xfId="880"/>
    <cellStyle name="Linked Cell 3 4" xfId="881"/>
    <cellStyle name="Linked Cell 3 5" xfId="882"/>
    <cellStyle name="Linked Cell 3 6" xfId="883"/>
    <cellStyle name="Linked Cell 3 7" xfId="884"/>
    <cellStyle name="Linked Cell 4" xfId="885"/>
    <cellStyle name="Linked Cell 4 2" xfId="886"/>
    <cellStyle name="Linked Cell 4 3" xfId="887"/>
    <cellStyle name="Linked Cell 4 4" xfId="888"/>
    <cellStyle name="Linked Cell 4 5" xfId="889"/>
    <cellStyle name="Linked Cell 4 6" xfId="890"/>
    <cellStyle name="Linked Cell 4 7" xfId="891"/>
    <cellStyle name="Linked Cell 5" xfId="892"/>
    <cellStyle name="Linked Cell 6" xfId="893"/>
    <cellStyle name="MS_Arabic" xfId="894"/>
    <cellStyle name="Neutral 2" xfId="895"/>
    <cellStyle name="Neutral 2 2" xfId="896"/>
    <cellStyle name="Neutral 2 3" xfId="897"/>
    <cellStyle name="Neutral 2 4" xfId="898"/>
    <cellStyle name="Neutral 2 5" xfId="899"/>
    <cellStyle name="Neutral 2 6" xfId="900"/>
    <cellStyle name="Neutral 2 7" xfId="901"/>
    <cellStyle name="Neutral 2 8" xfId="902"/>
    <cellStyle name="Neutral 2 9" xfId="903"/>
    <cellStyle name="Neutral 3" xfId="904"/>
    <cellStyle name="Neutral 3 2" xfId="905"/>
    <cellStyle name="Neutral 3 3" xfId="906"/>
    <cellStyle name="Neutral 3 4" xfId="907"/>
    <cellStyle name="Neutral 3 5" xfId="908"/>
    <cellStyle name="Neutral 3 6" xfId="909"/>
    <cellStyle name="Neutral 3 7" xfId="910"/>
    <cellStyle name="Neutral 4" xfId="911"/>
    <cellStyle name="Neutral 4 2" xfId="912"/>
    <cellStyle name="Neutral 4 3" xfId="913"/>
    <cellStyle name="Neutral 4 4" xfId="914"/>
    <cellStyle name="Neutral 4 5" xfId="915"/>
    <cellStyle name="Neutral 4 6" xfId="916"/>
    <cellStyle name="Neutral 4 7" xfId="917"/>
    <cellStyle name="Neutral 5" xfId="918"/>
    <cellStyle name="Neutral 5 2" xfId="919"/>
    <cellStyle name="Neutral 5 3" xfId="920"/>
    <cellStyle name="Neutral 5 4" xfId="921"/>
    <cellStyle name="Neutral 5 5" xfId="922"/>
    <cellStyle name="Neutral 5 6" xfId="923"/>
    <cellStyle name="Neutral 5 7" xfId="924"/>
    <cellStyle name="Neutral 6" xfId="925"/>
    <cellStyle name="Normal" xfId="0" builtinId="0"/>
    <cellStyle name="Normal 10" xfId="4"/>
    <cellStyle name="Normal 10 2" xfId="926"/>
    <cellStyle name="Normal 11" xfId="927"/>
    <cellStyle name="Normal 12" xfId="928"/>
    <cellStyle name="Normal 13" xfId="929"/>
    <cellStyle name="Normal 14" xfId="930"/>
    <cellStyle name="Normal 15" xfId="931"/>
    <cellStyle name="Normal 17" xfId="932"/>
    <cellStyle name="Normal 18" xfId="933"/>
    <cellStyle name="Normal 19" xfId="934"/>
    <cellStyle name="Normal 2" xfId="935"/>
    <cellStyle name="Normal 2 10" xfId="936"/>
    <cellStyle name="Normal 2 11" xfId="937"/>
    <cellStyle name="Normal 2 12" xfId="938"/>
    <cellStyle name="Normal 2 13" xfId="939"/>
    <cellStyle name="Normal 2 14" xfId="940"/>
    <cellStyle name="Normal 2 15" xfId="941"/>
    <cellStyle name="Normal 2 16" xfId="942"/>
    <cellStyle name="Normal 2 17" xfId="943"/>
    <cellStyle name="Normal 2 18" xfId="944"/>
    <cellStyle name="Normal 2 19" xfId="945"/>
    <cellStyle name="Normal 2 2" xfId="946"/>
    <cellStyle name="Normal 2 2 10" xfId="1"/>
    <cellStyle name="Normal 2 2 11" xfId="947"/>
    <cellStyle name="Normal 2 2 12" xfId="948"/>
    <cellStyle name="Normal 2 2 13" xfId="949"/>
    <cellStyle name="Normal 2 2 14" xfId="950"/>
    <cellStyle name="Normal 2 2 2" xfId="951"/>
    <cellStyle name="Normal 2 2 2 10" xfId="952"/>
    <cellStyle name="Normal 2 2 2 11" xfId="953"/>
    <cellStyle name="Normal 2 2 2 12" xfId="954"/>
    <cellStyle name="Normal 2 2 2 13" xfId="955"/>
    <cellStyle name="Normal 2 2 2 2" xfId="956"/>
    <cellStyle name="Normal 2 2 2 2 10" xfId="957"/>
    <cellStyle name="Normal 2 2 2 2 11" xfId="958"/>
    <cellStyle name="Normal 2 2 2 2 12" xfId="959"/>
    <cellStyle name="Normal 2 2 2 2 13" xfId="960"/>
    <cellStyle name="Normal 2 2 2 2 2" xfId="961"/>
    <cellStyle name="Normal 2 2 2 2 3" xfId="962"/>
    <cellStyle name="Normal 2 2 2 2 4" xfId="963"/>
    <cellStyle name="Normal 2 2 2 2 5" xfId="964"/>
    <cellStyle name="Normal 2 2 2 2 6" xfId="965"/>
    <cellStyle name="Normal 2 2 2 2 7" xfId="966"/>
    <cellStyle name="Normal 2 2 2 2 8" xfId="967"/>
    <cellStyle name="Normal 2 2 2 2 9" xfId="968"/>
    <cellStyle name="Normal 2 2 2 3" xfId="969"/>
    <cellStyle name="Normal 2 2 2 4" xfId="970"/>
    <cellStyle name="Normal 2 2 2 5" xfId="971"/>
    <cellStyle name="Normal 2 2 2 6" xfId="972"/>
    <cellStyle name="Normal 2 2 2 7" xfId="973"/>
    <cellStyle name="Normal 2 2 2 8" xfId="974"/>
    <cellStyle name="Normal 2 2 2 9" xfId="975"/>
    <cellStyle name="Normal 2 2 3" xfId="976"/>
    <cellStyle name="Normal 2 2 4" xfId="977"/>
    <cellStyle name="Normal 2 2 5" xfId="978"/>
    <cellStyle name="Normal 2 2 6" xfId="979"/>
    <cellStyle name="Normal 2 2 7" xfId="980"/>
    <cellStyle name="Normal 2 2 8" xfId="981"/>
    <cellStyle name="Normal 2 2 9" xfId="982"/>
    <cellStyle name="Normal 2 20" xfId="983"/>
    <cellStyle name="Normal 2 21" xfId="984"/>
    <cellStyle name="Normal 2 22" xfId="985"/>
    <cellStyle name="Normal 2 23" xfId="986"/>
    <cellStyle name="Normal 2 24" xfId="987"/>
    <cellStyle name="Normal 2 25" xfId="988"/>
    <cellStyle name="Normal 2 26" xfId="989"/>
    <cellStyle name="Normal 2 27" xfId="990"/>
    <cellStyle name="Normal 2 28" xfId="991"/>
    <cellStyle name="Normal 2 29" xfId="992"/>
    <cellStyle name="Normal 2 3" xfId="993"/>
    <cellStyle name="Normal 2 3 10" xfId="994"/>
    <cellStyle name="Normal 2 3 11" xfId="995"/>
    <cellStyle name="Normal 2 3 12" xfId="996"/>
    <cellStyle name="Normal 2 3 13" xfId="997"/>
    <cellStyle name="Normal 2 3 2" xfId="998"/>
    <cellStyle name="Normal 2 3 2 10" xfId="999"/>
    <cellStyle name="Normal 2 3 2 11" xfId="1000"/>
    <cellStyle name="Normal 2 3 2 12" xfId="1001"/>
    <cellStyle name="Normal 2 3 2 13" xfId="1002"/>
    <cellStyle name="Normal 2 3 2 2" xfId="1003"/>
    <cellStyle name="Normal 2 3 2 3" xfId="1004"/>
    <cellStyle name="Normal 2 3 2 4" xfId="1005"/>
    <cellStyle name="Normal 2 3 2 5" xfId="1006"/>
    <cellStyle name="Normal 2 3 2 6" xfId="1007"/>
    <cellStyle name="Normal 2 3 2 7" xfId="1008"/>
    <cellStyle name="Normal 2 3 2 8" xfId="1009"/>
    <cellStyle name="Normal 2 3 2 9" xfId="1010"/>
    <cellStyle name="Normal 2 3 3" xfId="1011"/>
    <cellStyle name="Normal 2 3 4" xfId="1012"/>
    <cellStyle name="Normal 2 3 5" xfId="1013"/>
    <cellStyle name="Normal 2 3 6" xfId="1014"/>
    <cellStyle name="Normal 2 3 7" xfId="1015"/>
    <cellStyle name="Normal 2 3 8" xfId="1016"/>
    <cellStyle name="Normal 2 3 9" xfId="1017"/>
    <cellStyle name="Normal 2 30" xfId="1018"/>
    <cellStyle name="Normal 2 31" xfId="1019"/>
    <cellStyle name="Normal 2 32" xfId="1020"/>
    <cellStyle name="Normal 2 33" xfId="1021"/>
    <cellStyle name="Normal 2 33 2" xfId="1022"/>
    <cellStyle name="Normal 2 34" xfId="1023"/>
    <cellStyle name="Normal 2 34 2" xfId="1024"/>
    <cellStyle name="Normal 2 35" xfId="1025"/>
    <cellStyle name="Normal 2 35 2" xfId="1026"/>
    <cellStyle name="Normal 2 36" xfId="1027"/>
    <cellStyle name="Normal 2 36 2" xfId="1028"/>
    <cellStyle name="Normal 2 37" xfId="1029"/>
    <cellStyle name="Normal 2 37 2" xfId="1030"/>
    <cellStyle name="Normal 2 38" xfId="1031"/>
    <cellStyle name="Normal 2 39" xfId="1032"/>
    <cellStyle name="Normal 2 4" xfId="2"/>
    <cellStyle name="Normal 2 4 2" xfId="1033"/>
    <cellStyle name="Normal 2 4 3" xfId="1034"/>
    <cellStyle name="Normal 2 4 4" xfId="1035"/>
    <cellStyle name="Normal 2 4 5" xfId="1036"/>
    <cellStyle name="Normal 2 4 6" xfId="1037"/>
    <cellStyle name="Normal 2 4 7" xfId="1038"/>
    <cellStyle name="Normal 2 4 8" xfId="1039"/>
    <cellStyle name="Normal 2 40" xfId="1040"/>
    <cellStyle name="Normal 2 41" xfId="1041"/>
    <cellStyle name="Normal 2 42" xfId="1042"/>
    <cellStyle name="Normal 2 43" xfId="1043"/>
    <cellStyle name="Normal 2 5" xfId="1044"/>
    <cellStyle name="Normal 2 5 10" xfId="1045"/>
    <cellStyle name="Normal 2 5 11" xfId="1046"/>
    <cellStyle name="Normal 2 5 12" xfId="1047"/>
    <cellStyle name="Normal 2 5 13" xfId="1048"/>
    <cellStyle name="Normal 2 5 14" xfId="1049"/>
    <cellStyle name="Normal 2 5 15" xfId="1050"/>
    <cellStyle name="Normal 2 5 2" xfId="1051"/>
    <cellStyle name="Normal 2 5 3" xfId="1052"/>
    <cellStyle name="Normal 2 5 4" xfId="1053"/>
    <cellStyle name="Normal 2 5 5" xfId="1054"/>
    <cellStyle name="Normal 2 5 6" xfId="1055"/>
    <cellStyle name="Normal 2 5 7" xfId="1056"/>
    <cellStyle name="Normal 2 5 8" xfId="1057"/>
    <cellStyle name="Normal 2 5 9" xfId="1058"/>
    <cellStyle name="Normal 2 6" xfId="1059"/>
    <cellStyle name="Normal 2 6 2" xfId="1060"/>
    <cellStyle name="Normal 2 6 3" xfId="1061"/>
    <cellStyle name="Normal 2 6 4" xfId="1062"/>
    <cellStyle name="Normal 2 6 5" xfId="1063"/>
    <cellStyle name="Normal 2 6 6" xfId="1064"/>
    <cellStyle name="Normal 2 6 7" xfId="1065"/>
    <cellStyle name="Normal 2 7" xfId="1066"/>
    <cellStyle name="Normal 2 8" xfId="1067"/>
    <cellStyle name="Normal 2 9" xfId="1068"/>
    <cellStyle name="Normal 20" xfId="1069"/>
    <cellStyle name="Normal 21" xfId="1070"/>
    <cellStyle name="Normal 22" xfId="1071"/>
    <cellStyle name="Normal 25" xfId="1072"/>
    <cellStyle name="Normal 26" xfId="1073"/>
    <cellStyle name="Normal 27" xfId="1074"/>
    <cellStyle name="Normal 29" xfId="1075"/>
    <cellStyle name="Normal 3" xfId="1076"/>
    <cellStyle name="Normal 3 2" xfId="1077"/>
    <cellStyle name="Normal 3 2 10" xfId="1078"/>
    <cellStyle name="Normal 3 2 11" xfId="1079"/>
    <cellStyle name="Normal 3 2 12" xfId="1080"/>
    <cellStyle name="Normal 3 2 13" xfId="1081"/>
    <cellStyle name="Normal 3 2 14" xfId="1082"/>
    <cellStyle name="Normal 3 2 15" xfId="1083"/>
    <cellStyle name="Normal 3 2 2" xfId="1084"/>
    <cellStyle name="Normal 3 2 3" xfId="1085"/>
    <cellStyle name="Normal 3 2 3 10" xfId="1086"/>
    <cellStyle name="Normal 3 2 3 11" xfId="1087"/>
    <cellStyle name="Normal 3 2 3 12" xfId="1088"/>
    <cellStyle name="Normal 3 2 3 13" xfId="1089"/>
    <cellStyle name="Normal 3 2 3 14" xfId="1090"/>
    <cellStyle name="Normal 3 2 3 2" xfId="1091"/>
    <cellStyle name="Normal 3 2 3 3" xfId="1092"/>
    <cellStyle name="Normal 3 2 3 4" xfId="1093"/>
    <cellStyle name="Normal 3 2 3 5" xfId="1094"/>
    <cellStyle name="Normal 3 2 3 6" xfId="1095"/>
    <cellStyle name="Normal 3 2 3 7" xfId="1096"/>
    <cellStyle name="Normal 3 2 3 8" xfId="1097"/>
    <cellStyle name="Normal 3 2 3 9" xfId="1098"/>
    <cellStyle name="Normal 3 2 4" xfId="1099"/>
    <cellStyle name="Normal 3 2 5" xfId="1100"/>
    <cellStyle name="Normal 3 2 6" xfId="1101"/>
    <cellStyle name="Normal 3 2 7" xfId="1102"/>
    <cellStyle name="Normal 3 2 8" xfId="1103"/>
    <cellStyle name="Normal 3 2 9" xfId="1104"/>
    <cellStyle name="Normal 3 3" xfId="3"/>
    <cellStyle name="Normal 3 4" xfId="1293"/>
    <cellStyle name="Normal 30" xfId="1105"/>
    <cellStyle name="Normal 31" xfId="1106"/>
    <cellStyle name="Normal 4" xfId="1107"/>
    <cellStyle name="Normal 4 10" xfId="1108"/>
    <cellStyle name="Normal 4 11" xfId="1109"/>
    <cellStyle name="Normal 4 12" xfId="1110"/>
    <cellStyle name="Normal 4 13" xfId="1111"/>
    <cellStyle name="Normal 4 14" xfId="1112"/>
    <cellStyle name="Normal 4 2" xfId="1113"/>
    <cellStyle name="Normal 4 3" xfId="1114"/>
    <cellStyle name="Normal 4 4" xfId="1115"/>
    <cellStyle name="Normal 4 5" xfId="1116"/>
    <cellStyle name="Normal 4 6" xfId="1117"/>
    <cellStyle name="Normal 4 7" xfId="1118"/>
    <cellStyle name="Normal 4 8" xfId="1119"/>
    <cellStyle name="Normal 4 9" xfId="1120"/>
    <cellStyle name="Normal 5" xfId="1121"/>
    <cellStyle name="Normal 5 10" xfId="1122"/>
    <cellStyle name="Normal 5 11" xfId="1123"/>
    <cellStyle name="Normal 5 12" xfId="1124"/>
    <cellStyle name="Normal 5 13" xfId="1125"/>
    <cellStyle name="Normal 5 14" xfId="1126"/>
    <cellStyle name="Normal 5 2" xfId="1127"/>
    <cellStyle name="Normal 5 3" xfId="1128"/>
    <cellStyle name="Normal 5 4" xfId="1129"/>
    <cellStyle name="Normal 5 5" xfId="1130"/>
    <cellStyle name="Normal 5 6" xfId="1131"/>
    <cellStyle name="Normal 5 7" xfId="1132"/>
    <cellStyle name="Normal 5 8" xfId="1133"/>
    <cellStyle name="Normal 5 9" xfId="1134"/>
    <cellStyle name="Normal 6" xfId="1135"/>
    <cellStyle name="Normal 6 10" xfId="1136"/>
    <cellStyle name="Normal 6 11" xfId="1137"/>
    <cellStyle name="Normal 6 12" xfId="1138"/>
    <cellStyle name="Normal 6 13" xfId="1139"/>
    <cellStyle name="Normal 6 14" xfId="1140"/>
    <cellStyle name="Normal 6 2" xfId="1141"/>
    <cellStyle name="Normal 6 3" xfId="1142"/>
    <cellStyle name="Normal 6 4" xfId="1143"/>
    <cellStyle name="Normal 6 5" xfId="1144"/>
    <cellStyle name="Normal 6 6" xfId="1145"/>
    <cellStyle name="Normal 6 7" xfId="1146"/>
    <cellStyle name="Normal 6 8" xfId="1147"/>
    <cellStyle name="Normal 6 9" xfId="1148"/>
    <cellStyle name="Normal 7" xfId="1149"/>
    <cellStyle name="Normal 7 10" xfId="1150"/>
    <cellStyle name="Normal 7 11" xfId="1151"/>
    <cellStyle name="Normal 7 12" xfId="1152"/>
    <cellStyle name="Normal 7 13" xfId="1153"/>
    <cellStyle name="Normal 7 14" xfId="1154"/>
    <cellStyle name="Normal 7 2" xfId="1155"/>
    <cellStyle name="Normal 7 3" xfId="1156"/>
    <cellStyle name="Normal 7 4" xfId="1157"/>
    <cellStyle name="Normal 7 5" xfId="1158"/>
    <cellStyle name="Normal 7 6" xfId="1159"/>
    <cellStyle name="Normal 7 7" xfId="1160"/>
    <cellStyle name="Normal 7 8" xfId="1161"/>
    <cellStyle name="Normal 7 9" xfId="1162"/>
    <cellStyle name="Normal 8" xfId="1163"/>
    <cellStyle name="Normal 8 10" xfId="1164"/>
    <cellStyle name="Normal 8 11" xfId="1165"/>
    <cellStyle name="Normal 8 12" xfId="1166"/>
    <cellStyle name="Normal 8 13" xfId="1167"/>
    <cellStyle name="Normal 8 14" xfId="1168"/>
    <cellStyle name="Normal 8 2" xfId="1169"/>
    <cellStyle name="Normal 8 3" xfId="1170"/>
    <cellStyle name="Normal 8 4" xfId="1171"/>
    <cellStyle name="Normal 8 5" xfId="1172"/>
    <cellStyle name="Normal 8 6" xfId="1173"/>
    <cellStyle name="Normal 8 7" xfId="1174"/>
    <cellStyle name="Normal 8 8" xfId="1175"/>
    <cellStyle name="Normal 8 9" xfId="1176"/>
    <cellStyle name="Normal 9" xfId="1177"/>
    <cellStyle name="Normal 9 10" xfId="1178"/>
    <cellStyle name="Normal 9 11" xfId="1179"/>
    <cellStyle name="Normal 9 12" xfId="1180"/>
    <cellStyle name="Normal 9 13" xfId="1181"/>
    <cellStyle name="Normal 9 14" xfId="1182"/>
    <cellStyle name="Normal 9 2" xfId="1183"/>
    <cellStyle name="Normal 9 3" xfId="1184"/>
    <cellStyle name="Normal 9 4" xfId="1185"/>
    <cellStyle name="Normal 9 5" xfId="1186"/>
    <cellStyle name="Normal 9 6" xfId="1187"/>
    <cellStyle name="Normal 9 7" xfId="1188"/>
    <cellStyle name="Normal 9 8" xfId="1189"/>
    <cellStyle name="Normal 9 9" xfId="1190"/>
    <cellStyle name="Note 2" xfId="1191"/>
    <cellStyle name="Note 3" xfId="1192"/>
    <cellStyle name="Note 3 2" xfId="1193"/>
    <cellStyle name="Note 4" xfId="1194"/>
    <cellStyle name="Note 4 2" xfId="1195"/>
    <cellStyle name="Note 5" xfId="1196"/>
    <cellStyle name="Note 6" xfId="1197"/>
    <cellStyle name="Output 2" xfId="1198"/>
    <cellStyle name="Output 2 2" xfId="1199"/>
    <cellStyle name="Output 2 3" xfId="1200"/>
    <cellStyle name="Output 2 4" xfId="1201"/>
    <cellStyle name="Output 2 5" xfId="1202"/>
    <cellStyle name="Output 2 6" xfId="1203"/>
    <cellStyle name="Output 2 7" xfId="1204"/>
    <cellStyle name="Output 3" xfId="1205"/>
    <cellStyle name="Output 3 2" xfId="1206"/>
    <cellStyle name="Output 3 3" xfId="1207"/>
    <cellStyle name="Output 3 4" xfId="1208"/>
    <cellStyle name="Output 3 5" xfId="1209"/>
    <cellStyle name="Output 3 6" xfId="1210"/>
    <cellStyle name="Output 3 7" xfId="1211"/>
    <cellStyle name="Output 4" xfId="1212"/>
    <cellStyle name="Output 4 2" xfId="1213"/>
    <cellStyle name="Output 4 3" xfId="1214"/>
    <cellStyle name="Output 4 4" xfId="1215"/>
    <cellStyle name="Output 4 5" xfId="1216"/>
    <cellStyle name="Output 4 6" xfId="1217"/>
    <cellStyle name="Output 4 7" xfId="1218"/>
    <cellStyle name="Output 5" xfId="1219"/>
    <cellStyle name="Output 6" xfId="1220"/>
    <cellStyle name="Percent 2" xfId="1221"/>
    <cellStyle name="Style 1" xfId="1222"/>
    <cellStyle name="Title 2" xfId="1223"/>
    <cellStyle name="Title 2 2" xfId="1224"/>
    <cellStyle name="Title 2 3" xfId="1225"/>
    <cellStyle name="Title 2 4" xfId="1226"/>
    <cellStyle name="Title 2 5" xfId="1227"/>
    <cellStyle name="Title 2 6" xfId="1228"/>
    <cellStyle name="Title 2 7" xfId="1229"/>
    <cellStyle name="Title 3" xfId="1230"/>
    <cellStyle name="Title 3 2" xfId="1231"/>
    <cellStyle name="Title 3 3" xfId="1232"/>
    <cellStyle name="Title 3 4" xfId="1233"/>
    <cellStyle name="Title 3 5" xfId="1234"/>
    <cellStyle name="Title 3 6" xfId="1235"/>
    <cellStyle name="Title 3 7" xfId="1236"/>
    <cellStyle name="Title 4" xfId="1237"/>
    <cellStyle name="Title 4 2" xfId="1238"/>
    <cellStyle name="Title 4 3" xfId="1239"/>
    <cellStyle name="Title 4 4" xfId="1240"/>
    <cellStyle name="Title 4 5" xfId="1241"/>
    <cellStyle name="Title 4 6" xfId="1242"/>
    <cellStyle name="Title 4 7" xfId="1243"/>
    <cellStyle name="Title 5" xfId="1244"/>
    <cellStyle name="Title 6" xfId="1245"/>
    <cellStyle name="Total 2" xfId="1246"/>
    <cellStyle name="Total 2 2" xfId="1247"/>
    <cellStyle name="Total 2 3" xfId="1248"/>
    <cellStyle name="Total 2 4" xfId="1249"/>
    <cellStyle name="Total 2 5" xfId="1250"/>
    <cellStyle name="Total 2 6" xfId="1251"/>
    <cellStyle name="Total 2 7" xfId="1252"/>
    <cellStyle name="Total 3" xfId="1253"/>
    <cellStyle name="Total 3 2" xfId="1254"/>
    <cellStyle name="Total 3 3" xfId="1255"/>
    <cellStyle name="Total 3 4" xfId="1256"/>
    <cellStyle name="Total 3 5" xfId="1257"/>
    <cellStyle name="Total 3 6" xfId="1258"/>
    <cellStyle name="Total 3 7" xfId="1259"/>
    <cellStyle name="Total 4" xfId="1260"/>
    <cellStyle name="Total 4 2" xfId="1261"/>
    <cellStyle name="Total 4 3" xfId="1262"/>
    <cellStyle name="Total 4 4" xfId="1263"/>
    <cellStyle name="Total 4 5" xfId="1264"/>
    <cellStyle name="Total 4 6" xfId="1265"/>
    <cellStyle name="Total 4 7" xfId="1266"/>
    <cellStyle name="Total 5" xfId="1267"/>
    <cellStyle name="Total 6" xfId="1268"/>
    <cellStyle name="Warning Text 2" xfId="1269"/>
    <cellStyle name="Warning Text 2 2" xfId="1270"/>
    <cellStyle name="Warning Text 2 3" xfId="1271"/>
    <cellStyle name="Warning Text 2 4" xfId="1272"/>
    <cellStyle name="Warning Text 2 5" xfId="1273"/>
    <cellStyle name="Warning Text 2 6" xfId="1274"/>
    <cellStyle name="Warning Text 2 7" xfId="1275"/>
    <cellStyle name="Warning Text 3" xfId="1276"/>
    <cellStyle name="Warning Text 3 2" xfId="1277"/>
    <cellStyle name="Warning Text 3 3" xfId="1278"/>
    <cellStyle name="Warning Text 3 4" xfId="1279"/>
    <cellStyle name="Warning Text 3 5" xfId="1280"/>
    <cellStyle name="Warning Text 3 6" xfId="1281"/>
    <cellStyle name="Warning Text 3 7" xfId="1282"/>
    <cellStyle name="Warning Text 4" xfId="1283"/>
    <cellStyle name="Warning Text 4 2" xfId="1284"/>
    <cellStyle name="Warning Text 4 3" xfId="1285"/>
    <cellStyle name="Warning Text 4 4" xfId="1286"/>
    <cellStyle name="Warning Text 4 5" xfId="1287"/>
    <cellStyle name="Warning Text 4 6" xfId="1288"/>
    <cellStyle name="Warning Text 4 7" xfId="1289"/>
    <cellStyle name="Warning Text 5" xfId="1290"/>
    <cellStyle name="Warning Text 6" xfId="1291"/>
    <cellStyle name="پرتو" xfId="1292"/>
  </cellStyles>
  <dxfs count="0"/>
  <tableStyles count="0" defaultTableStyle="TableStyleMedium9" defaultPivotStyle="PivotStyleLight16"/>
  <colors>
    <mruColors>
      <color rgb="FF008000"/>
      <color rgb="FF559040"/>
      <color rgb="FF00CCFF"/>
      <color rgb="FFACEBFF"/>
      <color rgb="FFFFFFD6"/>
      <color rgb="FFD6FFD1"/>
      <color rgb="FF66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styles" Target="styles.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externalLink" Target="externalLinks/externalLink9.xml"/><Relationship Id="rId89" Type="http://schemas.openxmlformats.org/officeDocument/2006/relationships/externalLink" Target="externalLinks/externalLink14.xml"/><Relationship Id="rId112" Type="http://schemas.openxmlformats.org/officeDocument/2006/relationships/externalLink" Target="externalLinks/externalLink37.xml"/><Relationship Id="rId16" Type="http://schemas.openxmlformats.org/officeDocument/2006/relationships/worksheet" Target="worksheets/sheet16.xml"/><Relationship Id="rId107" Type="http://schemas.openxmlformats.org/officeDocument/2006/relationships/externalLink" Target="externalLinks/externalLink32.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externalLink" Target="externalLinks/externalLink4.xml"/><Relationship Id="rId87" Type="http://schemas.openxmlformats.org/officeDocument/2006/relationships/externalLink" Target="externalLinks/externalLink12.xml"/><Relationship Id="rId102" Type="http://schemas.openxmlformats.org/officeDocument/2006/relationships/externalLink" Target="externalLinks/externalLink27.xml"/><Relationship Id="rId110" Type="http://schemas.openxmlformats.org/officeDocument/2006/relationships/externalLink" Target="externalLinks/externalLink35.xml"/><Relationship Id="rId115" Type="http://schemas.openxmlformats.org/officeDocument/2006/relationships/externalLink" Target="externalLinks/externalLink40.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externalLink" Target="externalLinks/externalLink7.xml"/><Relationship Id="rId90" Type="http://schemas.openxmlformats.org/officeDocument/2006/relationships/externalLink" Target="externalLinks/externalLink15.xml"/><Relationship Id="rId95" Type="http://schemas.openxmlformats.org/officeDocument/2006/relationships/externalLink" Target="externalLinks/externalLink20.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externalLink" Target="externalLinks/externalLink2.xml"/><Relationship Id="rId100" Type="http://schemas.openxmlformats.org/officeDocument/2006/relationships/externalLink" Target="externalLinks/externalLink25.xml"/><Relationship Id="rId105" Type="http://schemas.openxmlformats.org/officeDocument/2006/relationships/externalLink" Target="externalLinks/externalLink30.xml"/><Relationship Id="rId113" Type="http://schemas.openxmlformats.org/officeDocument/2006/relationships/externalLink" Target="externalLinks/externalLink38.xml"/><Relationship Id="rId118"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externalLink" Target="externalLinks/externalLink5.xml"/><Relationship Id="rId85" Type="http://schemas.openxmlformats.org/officeDocument/2006/relationships/externalLink" Target="externalLinks/externalLink10.xml"/><Relationship Id="rId93" Type="http://schemas.openxmlformats.org/officeDocument/2006/relationships/externalLink" Target="externalLinks/externalLink18.xml"/><Relationship Id="rId98" Type="http://schemas.openxmlformats.org/officeDocument/2006/relationships/externalLink" Target="externalLinks/externalLink2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externalLink" Target="externalLinks/externalLink28.xml"/><Relationship Id="rId108" Type="http://schemas.openxmlformats.org/officeDocument/2006/relationships/externalLink" Target="externalLinks/externalLink33.xml"/><Relationship Id="rId11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externalLink" Target="externalLinks/externalLink8.xml"/><Relationship Id="rId88" Type="http://schemas.openxmlformats.org/officeDocument/2006/relationships/externalLink" Target="externalLinks/externalLink13.xml"/><Relationship Id="rId91" Type="http://schemas.openxmlformats.org/officeDocument/2006/relationships/externalLink" Target="externalLinks/externalLink16.xml"/><Relationship Id="rId96" Type="http://schemas.openxmlformats.org/officeDocument/2006/relationships/externalLink" Target="externalLinks/externalLink21.xml"/><Relationship Id="rId111" Type="http://schemas.openxmlformats.org/officeDocument/2006/relationships/externalLink" Target="externalLinks/externalLink3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externalLink" Target="externalLinks/externalLink31.xml"/><Relationship Id="rId114" Type="http://schemas.openxmlformats.org/officeDocument/2006/relationships/externalLink" Target="externalLinks/externalLink39.xml"/><Relationship Id="rId119"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externalLink" Target="externalLinks/externalLink3.xml"/><Relationship Id="rId81" Type="http://schemas.openxmlformats.org/officeDocument/2006/relationships/externalLink" Target="externalLinks/externalLink6.xml"/><Relationship Id="rId86" Type="http://schemas.openxmlformats.org/officeDocument/2006/relationships/externalLink" Target="externalLinks/externalLink11.xml"/><Relationship Id="rId94" Type="http://schemas.openxmlformats.org/officeDocument/2006/relationships/externalLink" Target="externalLinks/externalLink19.xml"/><Relationship Id="rId99" Type="http://schemas.openxmlformats.org/officeDocument/2006/relationships/externalLink" Target="externalLinks/externalLink24.xml"/><Relationship Id="rId101" Type="http://schemas.openxmlformats.org/officeDocument/2006/relationships/externalLink" Target="externalLinks/externalLink2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externalLink" Target="externalLinks/externalLink34.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externalLink" Target="externalLinks/externalLink1.xml"/><Relationship Id="rId97" Type="http://schemas.openxmlformats.org/officeDocument/2006/relationships/externalLink" Target="externalLinks/externalLink22.xml"/><Relationship Id="rId104" Type="http://schemas.openxmlformats.org/officeDocument/2006/relationships/externalLink" Target="externalLinks/externalLink29.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externalLink" Target="externalLinks/externalLink17.xml"/><Relationship Id="rId2" Type="http://schemas.openxmlformats.org/officeDocument/2006/relationships/worksheet" Target="worksheets/sheet2.xml"/><Relationship Id="rId29" Type="http://schemas.openxmlformats.org/officeDocument/2006/relationships/worksheet" Target="worksheets/sheet29.xml"/></Relationships>
</file>

<file path=xl/drawings/_rels/drawing1.xml.rels><?xml version="1.0" encoding="UTF-8" standalone="yes"?>
<Relationships xmlns="http://schemas.openxmlformats.org/package/2006/relationships"><Relationship Id="rId1" Type="http://schemas.openxmlformats.org/officeDocument/2006/relationships/hyperlink" Target="#&#1588;&#1585;&#1608;&#1593;!A1"/></Relationships>
</file>

<file path=xl/drawings/_rels/drawing10.xml.rels><?xml version="1.0" encoding="UTF-8" standalone="yes"?>
<Relationships xmlns="http://schemas.openxmlformats.org/package/2006/relationships"><Relationship Id="rId2" Type="http://schemas.openxmlformats.org/officeDocument/2006/relationships/hyperlink" Target="#'&#1587;&#1740;&#1575;&#1587;&#1578; &#1607;&#1575; &#1608; &#1576;&#1585;&#1606;&#1575;&#1605;&#1607; &#1607;&#1575; 1'!A1"/><Relationship Id="rId1" Type="http://schemas.openxmlformats.org/officeDocument/2006/relationships/hyperlink" Target="#'&#1575;&#1607;&#1583;&#1575;&#1601; 1'!A1"/></Relationships>
</file>

<file path=xl/drawings/_rels/drawing11.xml.rels><?xml version="1.0" encoding="UTF-8" standalone="yes"?>
<Relationships xmlns="http://schemas.openxmlformats.org/package/2006/relationships"><Relationship Id="rId2" Type="http://schemas.openxmlformats.org/officeDocument/2006/relationships/hyperlink" Target="#'&#1588;&#1575;&#1582;&#1589; 1'!A1"/><Relationship Id="rId1" Type="http://schemas.openxmlformats.org/officeDocument/2006/relationships/hyperlink" Target="#'&#1593;&#1605;&#1604;&#1740;&#1575;&#1578;-&#1601;&#1593;&#1575;&#1604;&#1740;&#1578; &#1607;&#1575; 1'!A1"/></Relationships>
</file>

<file path=xl/drawings/_rels/drawing12.xml.rels><?xml version="1.0" encoding="UTF-8" standalone="yes"?>
<Relationships xmlns="http://schemas.openxmlformats.org/package/2006/relationships"><Relationship Id="rId3" Type="http://schemas.openxmlformats.org/officeDocument/2006/relationships/hyperlink" Target="#&#1588;&#1585;&#1608;&#1593;!A1"/><Relationship Id="rId2" Type="http://schemas.openxmlformats.org/officeDocument/2006/relationships/hyperlink" Target="#'&#1588;&#1575;&#1582;&#1589; 1'!A1"/><Relationship Id="rId1" Type="http://schemas.openxmlformats.org/officeDocument/2006/relationships/hyperlink" Target="&#1576;&#1585;&#1606;&#1575;&#1605;&#1607;%20&#1588;&#1588;&#1605;%20&#1587;&#1575;&#1586;&#1605;&#1575;&#1606;%20&#1583;&#1575;&#1605;&#1662;&#1586;&#1588;&#1705;&#1740;%20&#1705;&#1588;&#1608;&#1585;.xlsx#'&#1575;&#1607;&#1583;&#1575;&#1601; &#1705;&#1605;&#1740; 1'!A1" TargetMode="External"/><Relationship Id="rId4"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hyperlink" Target="#'&#1593;&#1605;&#1604;&#1740;&#1575;&#1578;-&#1601;&#1593;&#1575;&#1604;&#1740;&#1578; &#1607;&#1575; 2'!A1"/><Relationship Id="rId1" Type="http://schemas.openxmlformats.org/officeDocument/2006/relationships/hyperlink" Target="#&#1588;&#1585;&#1608;&#1593;!A1"/></Relationships>
</file>

<file path=xl/drawings/_rels/drawing14.xml.rels><?xml version="1.0" encoding="UTF-8" standalone="yes"?>
<Relationships xmlns="http://schemas.openxmlformats.org/package/2006/relationships"><Relationship Id="rId2" Type="http://schemas.openxmlformats.org/officeDocument/2006/relationships/hyperlink" Target="#'&#1575;&#1607;&#1583;&#1575;&#1601; 2'!A1"/><Relationship Id="rId1" Type="http://schemas.openxmlformats.org/officeDocument/2006/relationships/hyperlink" Target="#'&#1576;&#1585;&#1588; &#1575;&#1587;&#1578;&#1575;&#1606;&#1740; &#1607;&#1583;&#1601; 2'!A1"/></Relationships>
</file>

<file path=xl/drawings/_rels/drawing15.xml.rels><?xml version="1.0" encoding="UTF-8" standalone="yes"?>
<Relationships xmlns="http://schemas.openxmlformats.org/package/2006/relationships"><Relationship Id="rId2" Type="http://schemas.openxmlformats.org/officeDocument/2006/relationships/hyperlink" Target="#'&#1587;&#1740;&#1575;&#1587;&#1578; &#1607;&#1575; &#1608; &#1576;&#1585;&#1606;&#1575;&#1605;&#1607; &#1607;&#1575; 2 '!A1"/><Relationship Id="rId1" Type="http://schemas.openxmlformats.org/officeDocument/2006/relationships/hyperlink" Target="#'&#1575;&#1607;&#1583;&#1575;&#1601; 2'!A1"/></Relationships>
</file>

<file path=xl/drawings/_rels/drawing16.xml.rels><?xml version="1.0" encoding="UTF-8" standalone="yes"?>
<Relationships xmlns="http://schemas.openxmlformats.org/package/2006/relationships"><Relationship Id="rId2" Type="http://schemas.openxmlformats.org/officeDocument/2006/relationships/hyperlink" Target="#'&#1588;&#1575;&#1582;&#1589; 2'!A1"/><Relationship Id="rId1" Type="http://schemas.openxmlformats.org/officeDocument/2006/relationships/hyperlink" Target="#'&#1593;&#1605;&#1604;&#1740;&#1575;&#1578;-&#1601;&#1593;&#1575;&#1604;&#1740;&#1578; &#1607;&#1575; 2'!A1"/></Relationships>
</file>

<file path=xl/drawings/_rels/drawing17.xml.rels><?xml version="1.0" encoding="UTF-8" standalone="yes"?>
<Relationships xmlns="http://schemas.openxmlformats.org/package/2006/relationships"><Relationship Id="rId3" Type="http://schemas.openxmlformats.org/officeDocument/2006/relationships/hyperlink" Target="#&#1588;&#1585;&#1608;&#1593;!A1"/><Relationship Id="rId2" Type="http://schemas.openxmlformats.org/officeDocument/2006/relationships/hyperlink" Target="#'&#1588;&#1575;&#1582;&#1589; 2'!A1"/><Relationship Id="rId1" Type="http://schemas.openxmlformats.org/officeDocument/2006/relationships/hyperlink" Target="&#1576;&#1585;&#1606;&#1575;&#1605;&#1607;%20&#1588;&#1588;&#1605;%20&#1587;&#1575;&#1586;&#1605;&#1575;&#1606;%20&#1583;&#1575;&#1605;&#1662;&#1586;&#1588;&#1705;&#1740;%20&#1705;&#1588;&#1608;&#1585;.xlsx#'&#1575;&#1607;&#1583;&#1575;&#1601; &#1705;&#1605;&#1740; 1'!A1" TargetMode="External"/><Relationship Id="rId4"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hyperlink" Target="#'&#1593;&#1605;&#1604;&#1740;&#1575;&#1578;-&#1601;&#1593;&#1575;&#1604;&#1740;&#1578; &#1607;&#1575; 3'!A1"/><Relationship Id="rId1" Type="http://schemas.openxmlformats.org/officeDocument/2006/relationships/hyperlink" Target="#&#1588;&#1585;&#1608;&#1593;!A1"/></Relationships>
</file>

<file path=xl/drawings/_rels/drawing19.xml.rels><?xml version="1.0" encoding="UTF-8" standalone="yes"?>
<Relationships xmlns="http://schemas.openxmlformats.org/package/2006/relationships"><Relationship Id="rId2" Type="http://schemas.openxmlformats.org/officeDocument/2006/relationships/hyperlink" Target="#'&#1575;&#1607;&#1583;&#1575;&#1601; 3'!A1"/><Relationship Id="rId1" Type="http://schemas.openxmlformats.org/officeDocument/2006/relationships/hyperlink" Target="#'&#1576;&#1585;&#1588; &#1575;&#1587;&#1578;&#1575;&#1606;&#1740; &#1607;&#1583;&#1601; 3'!A1"/></Relationships>
</file>

<file path=xl/drawings/_rels/drawing2.xml.rels><?xml version="1.0" encoding="UTF-8" standalone="yes"?>
<Relationships xmlns="http://schemas.openxmlformats.org/package/2006/relationships"><Relationship Id="rId1" Type="http://schemas.openxmlformats.org/officeDocument/2006/relationships/hyperlink" Target="#&#1588;&#1585;&#1608;&#1593;!A1"/></Relationships>
</file>

<file path=xl/drawings/_rels/drawing20.xml.rels><?xml version="1.0" encoding="UTF-8" standalone="yes"?>
<Relationships xmlns="http://schemas.openxmlformats.org/package/2006/relationships"><Relationship Id="rId2" Type="http://schemas.openxmlformats.org/officeDocument/2006/relationships/hyperlink" Target="#'&#1587;&#1740;&#1575;&#1587;&#1578; &#1607;&#1575; &#1608; &#1576;&#1585;&#1606;&#1575;&#1605;&#1607; &#1607;&#1575; 3  '!A1"/><Relationship Id="rId1" Type="http://schemas.openxmlformats.org/officeDocument/2006/relationships/hyperlink" Target="#'&#1575;&#1607;&#1583;&#1575;&#1601; 3'!A1"/></Relationships>
</file>

<file path=xl/drawings/_rels/drawing21.xml.rels><?xml version="1.0" encoding="UTF-8" standalone="yes"?>
<Relationships xmlns="http://schemas.openxmlformats.org/package/2006/relationships"><Relationship Id="rId2" Type="http://schemas.openxmlformats.org/officeDocument/2006/relationships/hyperlink" Target="#'&#1588;&#1575;&#1582;&#1589; 3'!A1"/><Relationship Id="rId1" Type="http://schemas.openxmlformats.org/officeDocument/2006/relationships/hyperlink" Target="#'&#1593;&#1605;&#1604;&#1740;&#1575;&#1578;-&#1601;&#1593;&#1575;&#1604;&#1740;&#1578; &#1607;&#1575; 3'!A1"/></Relationships>
</file>

<file path=xl/drawings/_rels/drawing22.xml.rels><?xml version="1.0" encoding="UTF-8" standalone="yes"?>
<Relationships xmlns="http://schemas.openxmlformats.org/package/2006/relationships"><Relationship Id="rId3" Type="http://schemas.openxmlformats.org/officeDocument/2006/relationships/hyperlink" Target="#&#1588;&#1585;&#1608;&#1593;!A1"/><Relationship Id="rId2" Type="http://schemas.openxmlformats.org/officeDocument/2006/relationships/hyperlink" Target="#'&#1588;&#1575;&#1582;&#1589; 3'!A1"/><Relationship Id="rId1" Type="http://schemas.openxmlformats.org/officeDocument/2006/relationships/hyperlink" Target="&#1576;&#1585;&#1606;&#1575;&#1605;&#1607;%20&#1588;&#1588;&#1605;%20&#1587;&#1575;&#1586;&#1605;&#1575;&#1606;%20&#1583;&#1575;&#1605;&#1662;&#1586;&#1588;&#1705;&#1740;%20&#1705;&#1588;&#1608;&#1585;.xlsx#'&#1575;&#1607;&#1583;&#1575;&#1601; &#1705;&#1605;&#1740; 1'!A1" TargetMode="External"/><Relationship Id="rId4" Type="http://schemas.openxmlformats.org/officeDocument/2006/relationships/image" Target="../media/image1.png"/></Relationships>
</file>

<file path=xl/drawings/_rels/drawing23.xml.rels><?xml version="1.0" encoding="UTF-8" standalone="yes"?>
<Relationships xmlns="http://schemas.openxmlformats.org/package/2006/relationships"><Relationship Id="rId2" Type="http://schemas.openxmlformats.org/officeDocument/2006/relationships/hyperlink" Target="#'&#1593;&#1605;&#1604;&#1740;&#1575;&#1578;-&#1601;&#1593;&#1575;&#1604;&#1740;&#1578; &#1607;&#1575; 4'!A1"/><Relationship Id="rId1" Type="http://schemas.openxmlformats.org/officeDocument/2006/relationships/hyperlink" Target="#&#1588;&#1585;&#1608;&#1593;!A1"/></Relationships>
</file>

<file path=xl/drawings/_rels/drawing24.xml.rels><?xml version="1.0" encoding="UTF-8" standalone="yes"?>
<Relationships xmlns="http://schemas.openxmlformats.org/package/2006/relationships"><Relationship Id="rId2" Type="http://schemas.openxmlformats.org/officeDocument/2006/relationships/hyperlink" Target="#'&#1575;&#1607;&#1583;&#1575;&#1601; 4'!A1"/><Relationship Id="rId1" Type="http://schemas.openxmlformats.org/officeDocument/2006/relationships/hyperlink" Target="#'&#1576;&#1585;&#1588; &#1575;&#1587;&#1578;&#1575;&#1606;&#1740; &#1607;&#1583;&#1601; 4'!A1"/></Relationships>
</file>

<file path=xl/drawings/_rels/drawing25.xml.rels><?xml version="1.0" encoding="UTF-8" standalone="yes"?>
<Relationships xmlns="http://schemas.openxmlformats.org/package/2006/relationships"><Relationship Id="rId2" Type="http://schemas.openxmlformats.org/officeDocument/2006/relationships/hyperlink" Target="#'&#1587;&#1740;&#1575;&#1587;&#1578; &#1607;&#1575; &#1608; &#1576;&#1585;&#1606;&#1575;&#1605;&#1607; &#1607;&#1575; 4 '!A1"/><Relationship Id="rId1" Type="http://schemas.openxmlformats.org/officeDocument/2006/relationships/hyperlink" Target="#'&#1575;&#1607;&#1583;&#1575;&#1601; 4'!A1"/></Relationships>
</file>

<file path=xl/drawings/_rels/drawing26.xml.rels><?xml version="1.0" encoding="UTF-8" standalone="yes"?>
<Relationships xmlns="http://schemas.openxmlformats.org/package/2006/relationships"><Relationship Id="rId2" Type="http://schemas.openxmlformats.org/officeDocument/2006/relationships/hyperlink" Target="#&#1588;&#1575;&#1582;&#1589;4!A1"/><Relationship Id="rId1" Type="http://schemas.openxmlformats.org/officeDocument/2006/relationships/hyperlink" Target="#'&#1593;&#1605;&#1604;&#1740;&#1575;&#1578;-&#1601;&#1593;&#1575;&#1604;&#1740;&#1578; &#1607;&#1575; 4'!A1"/></Relationships>
</file>

<file path=xl/drawings/_rels/drawing27.xml.rels><?xml version="1.0" encoding="UTF-8" standalone="yes"?>
<Relationships xmlns="http://schemas.openxmlformats.org/package/2006/relationships"><Relationship Id="rId3" Type="http://schemas.openxmlformats.org/officeDocument/2006/relationships/hyperlink" Target="#&#1588;&#1585;&#1608;&#1593;!A1"/><Relationship Id="rId2" Type="http://schemas.openxmlformats.org/officeDocument/2006/relationships/hyperlink" Target="#&#1588;&#1575;&#1582;&#1589;4!A1"/><Relationship Id="rId1" Type="http://schemas.openxmlformats.org/officeDocument/2006/relationships/hyperlink" Target="&#1576;&#1585;&#1606;&#1575;&#1605;&#1607;%20&#1588;&#1588;&#1605;%20&#1587;&#1575;&#1586;&#1605;&#1575;&#1606;%20&#1583;&#1575;&#1605;&#1662;&#1586;&#1588;&#1705;&#1740;%20&#1705;&#1588;&#1608;&#1585;.xlsx#'&#1575;&#1607;&#1583;&#1575;&#1601; &#1705;&#1605;&#1740; 1'!A1" TargetMode="External"/><Relationship Id="rId4" Type="http://schemas.openxmlformats.org/officeDocument/2006/relationships/image" Target="../media/image1.png"/></Relationships>
</file>

<file path=xl/drawings/_rels/drawing28.xml.rels><?xml version="1.0" encoding="UTF-8" standalone="yes"?>
<Relationships xmlns="http://schemas.openxmlformats.org/package/2006/relationships"><Relationship Id="rId2" Type="http://schemas.openxmlformats.org/officeDocument/2006/relationships/hyperlink" Target="#'&#1593;&#1605;&#1604;&#1740;&#1575;&#1578;-&#1601;&#1593;&#1575;&#1604;&#1740;&#1578; &#1607;&#1575; 5'!A1"/><Relationship Id="rId1" Type="http://schemas.openxmlformats.org/officeDocument/2006/relationships/hyperlink" Target="#&#1588;&#1585;&#1608;&#1593;!A1"/></Relationships>
</file>

<file path=xl/drawings/_rels/drawing29.xml.rels><?xml version="1.0" encoding="UTF-8" standalone="yes"?>
<Relationships xmlns="http://schemas.openxmlformats.org/package/2006/relationships"><Relationship Id="rId2" Type="http://schemas.openxmlformats.org/officeDocument/2006/relationships/hyperlink" Target="#'&#1575;&#1607;&#1583;&#1575;&#1601; 5'!A1"/><Relationship Id="rId1" Type="http://schemas.openxmlformats.org/officeDocument/2006/relationships/hyperlink" Target="#'&#1576;&#1585;&#1588; &#1575;&#1587;&#1578;&#1575;&#1606;&#1740; &#1607;&#1583;&#1601; 5'!A1"/></Relationships>
</file>

<file path=xl/drawings/_rels/drawing3.xml.rels><?xml version="1.0" encoding="UTF-8" standalone="yes"?>
<Relationships xmlns="http://schemas.openxmlformats.org/package/2006/relationships"><Relationship Id="rId1" Type="http://schemas.openxmlformats.org/officeDocument/2006/relationships/hyperlink" Target="#&#1588;&#1585;&#1608;&#1593;!A1"/></Relationships>
</file>

<file path=xl/drawings/_rels/drawing30.xml.rels><?xml version="1.0" encoding="UTF-8" standalone="yes"?>
<Relationships xmlns="http://schemas.openxmlformats.org/package/2006/relationships"><Relationship Id="rId2" Type="http://schemas.openxmlformats.org/officeDocument/2006/relationships/hyperlink" Target="#'&#1587;&#1740;&#1575;&#1587;&#1578; &#1607;&#1575; &#1608; &#1576;&#1585;&#1606;&#1575;&#1605;&#1607; &#1607;&#1575; 5 '!A1"/><Relationship Id="rId1" Type="http://schemas.openxmlformats.org/officeDocument/2006/relationships/hyperlink" Target="#'&#1575;&#1607;&#1583;&#1575;&#1601; 5'!A1"/></Relationships>
</file>

<file path=xl/drawings/_rels/drawing31.xml.rels><?xml version="1.0" encoding="UTF-8" standalone="yes"?>
<Relationships xmlns="http://schemas.openxmlformats.org/package/2006/relationships"><Relationship Id="rId2" Type="http://schemas.openxmlformats.org/officeDocument/2006/relationships/hyperlink" Target="#'&#1588;&#1575;&#1582;&#1589; 5'!A1"/><Relationship Id="rId1" Type="http://schemas.openxmlformats.org/officeDocument/2006/relationships/hyperlink" Target="#'&#1593;&#1605;&#1604;&#1740;&#1575;&#1578;-&#1601;&#1593;&#1575;&#1604;&#1740;&#1578; &#1607;&#1575; 5'!A1"/></Relationships>
</file>

<file path=xl/drawings/_rels/drawing32.xml.rels><?xml version="1.0" encoding="UTF-8" standalone="yes"?>
<Relationships xmlns="http://schemas.openxmlformats.org/package/2006/relationships"><Relationship Id="rId3" Type="http://schemas.openxmlformats.org/officeDocument/2006/relationships/hyperlink" Target="#&#1588;&#1585;&#1608;&#1593;!A1"/><Relationship Id="rId2" Type="http://schemas.openxmlformats.org/officeDocument/2006/relationships/hyperlink" Target="#'&#1588;&#1575;&#1582;&#1589; 5'!A1"/><Relationship Id="rId1" Type="http://schemas.openxmlformats.org/officeDocument/2006/relationships/hyperlink" Target="&#1576;&#1585;&#1606;&#1575;&#1605;&#1607;%20&#1588;&#1588;&#1605;%20&#1587;&#1575;&#1586;&#1605;&#1575;&#1606;%20&#1583;&#1575;&#1605;&#1662;&#1586;&#1588;&#1705;&#1740;%20&#1705;&#1588;&#1608;&#1585;.xlsx#'&#1575;&#1607;&#1583;&#1575;&#1601; &#1705;&#1605;&#1740; 1'!A1" TargetMode="External"/><Relationship Id="rId4" Type="http://schemas.openxmlformats.org/officeDocument/2006/relationships/image" Target="../media/image1.png"/></Relationships>
</file>

<file path=xl/drawings/_rels/drawing33.xml.rels><?xml version="1.0" encoding="UTF-8" standalone="yes"?>
<Relationships xmlns="http://schemas.openxmlformats.org/package/2006/relationships"><Relationship Id="rId2" Type="http://schemas.openxmlformats.org/officeDocument/2006/relationships/hyperlink" Target="#'&#1593;&#1605;&#1604;&#1740;&#1575;&#1578;-&#1601;&#1593;&#1575;&#1604;&#1740;&#1578; &#1607;&#1575; 7 '!A1"/><Relationship Id="rId1" Type="http://schemas.openxmlformats.org/officeDocument/2006/relationships/hyperlink" Target="#&#1588;&#1585;&#1608;&#1593;!A1"/></Relationships>
</file>

<file path=xl/drawings/_rels/drawing34.xml.rels><?xml version="1.0" encoding="UTF-8" standalone="yes"?>
<Relationships xmlns="http://schemas.openxmlformats.org/package/2006/relationships"><Relationship Id="rId2" Type="http://schemas.openxmlformats.org/officeDocument/2006/relationships/hyperlink" Target="#'&#1588;&#1575;&#1582;&#1589; 7'!A1"/><Relationship Id="rId1" Type="http://schemas.openxmlformats.org/officeDocument/2006/relationships/hyperlink" Target="#'&#1576;&#1585;&#1588; &#1575;&#1587;&#1578;&#1575;&#1606;&#1740; &#1607;&#1583;&#1601; 7'!A1"/></Relationships>
</file>

<file path=xl/drawings/_rels/drawing35.xml.rels><?xml version="1.0" encoding="UTF-8" standalone="yes"?>
<Relationships xmlns="http://schemas.openxmlformats.org/package/2006/relationships"><Relationship Id="rId2" Type="http://schemas.openxmlformats.org/officeDocument/2006/relationships/hyperlink" Target="#'&#1587;&#1740;&#1575;&#1587;&#1578; &#1607;&#1575; &#1608; &#1576;&#1585;&#1606;&#1575;&#1605;&#1607; &#1607;&#1575; 7'!A1"/><Relationship Id="rId1" Type="http://schemas.openxmlformats.org/officeDocument/2006/relationships/hyperlink" Target="#'&#1593;&#1605;&#1604;&#1740;&#1575;&#1578;-&#1601;&#1593;&#1575;&#1604;&#1740;&#1578; &#1607;&#1575; 7 '!A1"/></Relationships>
</file>

<file path=xl/drawings/_rels/drawing36.xml.rels><?xml version="1.0" encoding="UTF-8" standalone="yes"?>
<Relationships xmlns="http://schemas.openxmlformats.org/package/2006/relationships"><Relationship Id="rId3" Type="http://schemas.openxmlformats.org/officeDocument/2006/relationships/hyperlink" Target="#&#1588;&#1585;&#1608;&#1593;!A1"/><Relationship Id="rId2" Type="http://schemas.openxmlformats.org/officeDocument/2006/relationships/hyperlink" Target="#'&#1588;&#1575;&#1582;&#1589; 7'!A1"/><Relationship Id="rId1" Type="http://schemas.openxmlformats.org/officeDocument/2006/relationships/hyperlink" Target="&#1576;&#1585;&#1606;&#1575;&#1605;&#1607;%20&#1588;&#1588;&#1605;%20&#1587;&#1575;&#1586;&#1605;&#1575;&#1606;%20&#1583;&#1575;&#1605;&#1662;&#1586;&#1588;&#1705;&#1740;%20&#1705;&#1588;&#1608;&#1585;.xlsx#'&#1575;&#1607;&#1583;&#1575;&#1601; &#1705;&#1605;&#1740; 1'!A1" TargetMode="External"/><Relationship Id="rId4" Type="http://schemas.openxmlformats.org/officeDocument/2006/relationships/image" Target="../media/image1.png"/></Relationships>
</file>

<file path=xl/drawings/_rels/drawing37.xml.rels><?xml version="1.0" encoding="UTF-8" standalone="yes"?>
<Relationships xmlns="http://schemas.openxmlformats.org/package/2006/relationships"><Relationship Id="rId2" Type="http://schemas.openxmlformats.org/officeDocument/2006/relationships/hyperlink" Target="#'&#1593;&#1605;&#1604;&#1740;&#1575;&#1578;-&#1601;&#1593;&#1575;&#1604;&#1740;&#1578; &#1607;&#1575; 9'!A1"/><Relationship Id="rId1" Type="http://schemas.openxmlformats.org/officeDocument/2006/relationships/hyperlink" Target="#&#1588;&#1585;&#1608;&#1593;!A1"/></Relationships>
</file>

<file path=xl/drawings/_rels/drawing38.xml.rels><?xml version="1.0" encoding="UTF-8" standalone="yes"?>
<Relationships xmlns="http://schemas.openxmlformats.org/package/2006/relationships"><Relationship Id="rId2" Type="http://schemas.openxmlformats.org/officeDocument/2006/relationships/hyperlink" Target="#'&#1588;&#1575;&#1582;&#1589; 9'!A1"/><Relationship Id="rId1" Type="http://schemas.openxmlformats.org/officeDocument/2006/relationships/hyperlink" Target="#'&#1576;&#1585;&#1588; &#1575;&#1587;&#1578;&#1575;&#1606;&#1740; &#1607;&#1583;&#1601; 9'!A1"/></Relationships>
</file>

<file path=xl/drawings/_rels/drawing39.xml.rels><?xml version="1.0" encoding="UTF-8" standalone="yes"?>
<Relationships xmlns="http://schemas.openxmlformats.org/package/2006/relationships"><Relationship Id="rId2" Type="http://schemas.openxmlformats.org/officeDocument/2006/relationships/hyperlink" Target="#'&#1587;&#1740;&#1575;&#1587;&#1578; &#1607;&#1575; &#1608; &#1576;&#1585;&#1606;&#1575;&#1605;&#1607; &#1607;&#1575; 9'!A1"/><Relationship Id="rId1" Type="http://schemas.openxmlformats.org/officeDocument/2006/relationships/hyperlink" Target="#'&#1593;&#1605;&#1604;&#1740;&#1575;&#1578;-&#1601;&#1593;&#1575;&#1604;&#1740;&#1578; &#1607;&#1575; 9'!A1"/></Relationships>
</file>

<file path=xl/drawings/_rels/drawing4.xml.rels><?xml version="1.0" encoding="UTF-8" standalone="yes"?>
<Relationships xmlns="http://schemas.openxmlformats.org/package/2006/relationships"><Relationship Id="rId1" Type="http://schemas.openxmlformats.org/officeDocument/2006/relationships/hyperlink" Target="#&#1588;&#1585;&#1608;&#1593;!A1"/></Relationships>
</file>

<file path=xl/drawings/_rels/drawing40.xml.rels><?xml version="1.0" encoding="UTF-8" standalone="yes"?>
<Relationships xmlns="http://schemas.openxmlformats.org/package/2006/relationships"><Relationship Id="rId3" Type="http://schemas.openxmlformats.org/officeDocument/2006/relationships/hyperlink" Target="#&#1588;&#1585;&#1608;&#1593;!A1"/><Relationship Id="rId2" Type="http://schemas.openxmlformats.org/officeDocument/2006/relationships/hyperlink" Target="#'&#1588;&#1575;&#1582;&#1589; 9'!A1"/><Relationship Id="rId1" Type="http://schemas.openxmlformats.org/officeDocument/2006/relationships/hyperlink" Target="&#1576;&#1585;&#1606;&#1575;&#1605;&#1607;%20&#1588;&#1588;&#1605;%20&#1587;&#1575;&#1586;&#1605;&#1575;&#1606;%20&#1583;&#1575;&#1605;&#1662;&#1586;&#1588;&#1705;&#1740;%20&#1705;&#1588;&#1608;&#1585;.xlsx#'&#1575;&#1607;&#1583;&#1575;&#1601; &#1705;&#1605;&#1740; 1'!A1" TargetMode="External"/><Relationship Id="rId4" Type="http://schemas.openxmlformats.org/officeDocument/2006/relationships/image" Target="../media/image1.png"/></Relationships>
</file>

<file path=xl/drawings/_rels/drawing41.xml.rels><?xml version="1.0" encoding="UTF-8" standalone="yes"?>
<Relationships xmlns="http://schemas.openxmlformats.org/package/2006/relationships"><Relationship Id="rId2" Type="http://schemas.openxmlformats.org/officeDocument/2006/relationships/hyperlink" Target="#'&#1593;&#1605;&#1604;&#1740;&#1575;&#1578;-&#1601;&#1593;&#1575;&#1604;&#1740;&#1578; &#1607;&#1575; 10'!A1"/><Relationship Id="rId1" Type="http://schemas.openxmlformats.org/officeDocument/2006/relationships/hyperlink" Target="#&#1588;&#1585;&#1608;&#1593;!A1"/></Relationships>
</file>

<file path=xl/drawings/_rels/drawing42.xml.rels><?xml version="1.0" encoding="UTF-8" standalone="yes"?>
<Relationships xmlns="http://schemas.openxmlformats.org/package/2006/relationships"><Relationship Id="rId2" Type="http://schemas.openxmlformats.org/officeDocument/2006/relationships/hyperlink" Target="#'&#1575;&#1607;&#1583;&#1575;&#1601; 10'!A1"/><Relationship Id="rId1" Type="http://schemas.openxmlformats.org/officeDocument/2006/relationships/hyperlink" Target="#'&#1576;&#1585;&#1588; &#1575;&#1587;&#1578;&#1575;&#1606;&#1740; &#1607;&#1583;&#1601; 10'!A1"/></Relationships>
</file>

<file path=xl/drawings/_rels/drawing43.xml.rels><?xml version="1.0" encoding="UTF-8" standalone="yes"?>
<Relationships xmlns="http://schemas.openxmlformats.org/package/2006/relationships"><Relationship Id="rId2" Type="http://schemas.openxmlformats.org/officeDocument/2006/relationships/hyperlink" Target="#'&#1587;&#1740;&#1575;&#1587;&#1578; &#1607;&#1575; &#1608; &#1576;&#1585;&#1606;&#1575;&#1605;&#1607; &#1607;&#1575; 10 '!A1"/><Relationship Id="rId1" Type="http://schemas.openxmlformats.org/officeDocument/2006/relationships/hyperlink" Target="#'&#1575;&#1607;&#1583;&#1575;&#1601; 10'!A1"/></Relationships>
</file>

<file path=xl/drawings/_rels/drawing44.xml.rels><?xml version="1.0" encoding="UTF-8" standalone="yes"?>
<Relationships xmlns="http://schemas.openxmlformats.org/package/2006/relationships"><Relationship Id="rId2" Type="http://schemas.openxmlformats.org/officeDocument/2006/relationships/hyperlink" Target="#'&#1588;&#1575;&#1582;&#1589; 10'!A1"/><Relationship Id="rId1" Type="http://schemas.openxmlformats.org/officeDocument/2006/relationships/hyperlink" Target="#'&#1593;&#1605;&#1604;&#1740;&#1575;&#1578;-&#1601;&#1593;&#1575;&#1604;&#1740;&#1578; &#1607;&#1575; 10'!A1"/></Relationships>
</file>

<file path=xl/drawings/_rels/drawing45.xml.rels><?xml version="1.0" encoding="UTF-8" standalone="yes"?>
<Relationships xmlns="http://schemas.openxmlformats.org/package/2006/relationships"><Relationship Id="rId3" Type="http://schemas.openxmlformats.org/officeDocument/2006/relationships/hyperlink" Target="#&#1588;&#1585;&#1608;&#1593;!A1"/><Relationship Id="rId2" Type="http://schemas.openxmlformats.org/officeDocument/2006/relationships/hyperlink" Target="#'&#1588;&#1575;&#1582;&#1589; 10'!A1"/><Relationship Id="rId1" Type="http://schemas.openxmlformats.org/officeDocument/2006/relationships/hyperlink" Target="&#1576;&#1585;&#1606;&#1575;&#1605;&#1607;%20&#1588;&#1588;&#1605;%20&#1587;&#1575;&#1586;&#1605;&#1575;&#1606;%20&#1583;&#1575;&#1605;&#1662;&#1586;&#1588;&#1705;&#1740;%20&#1705;&#1588;&#1608;&#1585;.xlsx#'&#1575;&#1607;&#1583;&#1575;&#1601; &#1705;&#1605;&#1740; 1'!A1" TargetMode="External"/><Relationship Id="rId4" Type="http://schemas.openxmlformats.org/officeDocument/2006/relationships/image" Target="../media/image1.png"/></Relationships>
</file>

<file path=xl/drawings/_rels/drawing46.xml.rels><?xml version="1.0" encoding="UTF-8" standalone="yes"?>
<Relationships xmlns="http://schemas.openxmlformats.org/package/2006/relationships"><Relationship Id="rId2" Type="http://schemas.openxmlformats.org/officeDocument/2006/relationships/hyperlink" Target="#'&#1593;&#1605;&#1604;&#1740;&#1575;&#1578;-&#1601;&#1593;&#1575;&#1604;&#1740;&#1578; &#1607;&#1575; 11'!A1"/><Relationship Id="rId1" Type="http://schemas.openxmlformats.org/officeDocument/2006/relationships/hyperlink" Target="#&#1588;&#1585;&#1608;&#1593;!A1"/></Relationships>
</file>

<file path=xl/drawings/_rels/drawing47.xml.rels><?xml version="1.0" encoding="UTF-8" standalone="yes"?>
<Relationships xmlns="http://schemas.openxmlformats.org/package/2006/relationships"><Relationship Id="rId2" Type="http://schemas.openxmlformats.org/officeDocument/2006/relationships/hyperlink" Target="#'&#1575;&#1607;&#1583;&#1575;&#1601; 11'!A1"/><Relationship Id="rId1" Type="http://schemas.openxmlformats.org/officeDocument/2006/relationships/hyperlink" Target="#'&#1576;&#1585;&#1588; &#1575;&#1587;&#1578;&#1575;&#1606;&#1740; &#1607;&#1583;&#1601; 11'!A1"/></Relationships>
</file>

<file path=xl/drawings/_rels/drawing48.xml.rels><?xml version="1.0" encoding="UTF-8" standalone="yes"?>
<Relationships xmlns="http://schemas.openxmlformats.org/package/2006/relationships"><Relationship Id="rId2" Type="http://schemas.openxmlformats.org/officeDocument/2006/relationships/hyperlink" Target="#'&#1588;&#1575;&#1582;&#1589; 11'!A1"/><Relationship Id="rId1" Type="http://schemas.openxmlformats.org/officeDocument/2006/relationships/hyperlink" Target="#'&#1593;&#1605;&#1604;&#1740;&#1575;&#1578;-&#1601;&#1593;&#1575;&#1604;&#1740;&#1578; &#1607;&#1575; 11'!A1"/></Relationships>
</file>

<file path=xl/drawings/_rels/drawing49.xml.rels><?xml version="1.0" encoding="UTF-8" standalone="yes"?>
<Relationships xmlns="http://schemas.openxmlformats.org/package/2006/relationships"><Relationship Id="rId2" Type="http://schemas.openxmlformats.org/officeDocument/2006/relationships/hyperlink" Target="#'&#1587;&#1740;&#1575;&#1587;&#1578; &#1607;&#1575; &#1608; &#1576;&#1585;&#1606;&#1575;&#1605;&#1607; &#1607;&#1575; 11'!A1"/><Relationship Id="rId1" Type="http://schemas.openxmlformats.org/officeDocument/2006/relationships/hyperlink" Target="#'&#1575;&#1607;&#1583;&#1575;&#1601; 11'!A1"/></Relationships>
</file>

<file path=xl/drawings/_rels/drawing5.xml.rels><?xml version="1.0" encoding="UTF-8" standalone="yes"?>
<Relationships xmlns="http://schemas.openxmlformats.org/package/2006/relationships"><Relationship Id="rId1" Type="http://schemas.openxmlformats.org/officeDocument/2006/relationships/hyperlink" Target="#&#1588;&#1585;&#1608;&#1593;!A1"/></Relationships>
</file>

<file path=xl/drawings/_rels/drawing50.xml.rels><?xml version="1.0" encoding="UTF-8" standalone="yes"?>
<Relationships xmlns="http://schemas.openxmlformats.org/package/2006/relationships"><Relationship Id="rId3" Type="http://schemas.openxmlformats.org/officeDocument/2006/relationships/hyperlink" Target="&#1576;&#1585;&#1606;&#1575;&#1605;&#1607;%20&#1588;&#1588;&#1605;%20&#1587;&#1575;&#1586;&#1605;&#1575;&#1606;%20&#1583;&#1575;&#1605;&#1662;&#1586;&#1588;&#1705;&#1740;%20&#1705;&#1588;&#1608;&#1585;%20&#1583;&#1585;%20&#1581;&#1575;&#1604;%20&#1608;&#1740;&#1585;&#1575;&#1740;&#1588;.xlsx#'&#1593;&#1605;&#1604;&#1740;&#1575;&#1578;-&#1601;&#1593;&#1575;&#1604;&#1740;&#1578; &#1607;&#1575; 15'!A1" TargetMode="External"/><Relationship Id="rId2" Type="http://schemas.openxmlformats.org/officeDocument/2006/relationships/hyperlink" Target="&#1576;&#1585;&#1606;&#1575;&#1605;&#1607;%20&#1588;&#1588;&#1605;%20&#1587;&#1575;&#1586;&#1605;&#1575;&#1606;%20&#1583;&#1575;&#1605;&#1662;&#1586;&#1588;&#1705;&#1740;%20&#1705;&#1588;&#1608;&#1585;%20&#1583;&#1585;%20&#1581;&#1575;&#1604;%20&#1608;&#1740;&#1585;&#1575;&#1740;&#1588;.xlsx#'&#1575;&#1607;&#1583;&#1575;&#1601; &#1705;&#1605;&#1740; '!A1" TargetMode="External"/><Relationship Id="rId1" Type="http://schemas.openxmlformats.org/officeDocument/2006/relationships/hyperlink" Target="&#1576;&#1585;&#1606;&#1575;&#1605;&#1607;%20&#1588;&#1588;&#1605;%20&#1587;&#1575;&#1586;&#1605;&#1575;&#1606;%20&#1583;&#1575;&#1605;&#1662;&#1586;&#1588;&#1705;&#1740;%20&#1705;&#1588;&#1608;&#1585;.xlsx#'&#1575;&#1607;&#1583;&#1575;&#1601; &#1705;&#1605;&#1740; 1'!A1" TargetMode="External"/><Relationship Id="rId6" Type="http://schemas.openxmlformats.org/officeDocument/2006/relationships/image" Target="../media/image1.png"/><Relationship Id="rId5" Type="http://schemas.openxmlformats.org/officeDocument/2006/relationships/hyperlink" Target="#&#1588;&#1585;&#1608;&#1593;!A1"/><Relationship Id="rId4" Type="http://schemas.openxmlformats.org/officeDocument/2006/relationships/hyperlink" Target="#'&#1588;&#1575;&#1582;&#1589; 11'!A1"/></Relationships>
</file>

<file path=xl/drawings/_rels/drawing51.xml.rels><?xml version="1.0" encoding="UTF-8" standalone="yes"?>
<Relationships xmlns="http://schemas.openxmlformats.org/package/2006/relationships"><Relationship Id="rId2" Type="http://schemas.openxmlformats.org/officeDocument/2006/relationships/hyperlink" Target="#'&#1593;&#1605;&#1604;&#1740;&#1575;&#1578;-&#1601;&#1593;&#1575;&#1604;&#1740;&#1578; &#1607;&#1575; 12'!A1"/><Relationship Id="rId1" Type="http://schemas.openxmlformats.org/officeDocument/2006/relationships/hyperlink" Target="#&#1588;&#1585;&#1608;&#1593;!A1"/></Relationships>
</file>

<file path=xl/drawings/_rels/drawing52.xml.rels><?xml version="1.0" encoding="UTF-8" standalone="yes"?>
<Relationships xmlns="http://schemas.openxmlformats.org/package/2006/relationships"><Relationship Id="rId2" Type="http://schemas.openxmlformats.org/officeDocument/2006/relationships/hyperlink" Target="#'&#1575;&#1607;&#1583;&#1575;&#1601; 12'!A1"/><Relationship Id="rId1" Type="http://schemas.openxmlformats.org/officeDocument/2006/relationships/hyperlink" Target="#'&#1576;&#1585;&#1588; &#1575;&#1587;&#1578;&#1575;&#1606;&#1740; &#1607;&#1583;&#1601; 12'!A1"/></Relationships>
</file>

<file path=xl/drawings/_rels/drawing53.xml.rels><?xml version="1.0" encoding="UTF-8" standalone="yes"?>
<Relationships xmlns="http://schemas.openxmlformats.org/package/2006/relationships"><Relationship Id="rId2" Type="http://schemas.openxmlformats.org/officeDocument/2006/relationships/hyperlink" Target="#'&#1588;&#1575;&#1582;&#1589; 12'!A1"/><Relationship Id="rId1" Type="http://schemas.openxmlformats.org/officeDocument/2006/relationships/hyperlink" Target="#'&#1593;&#1605;&#1604;&#1740;&#1575;&#1578;-&#1601;&#1593;&#1575;&#1604;&#1740;&#1578; &#1607;&#1575; 12'!A1"/></Relationships>
</file>

<file path=xl/drawings/_rels/drawing54.xml.rels><?xml version="1.0" encoding="UTF-8" standalone="yes"?>
<Relationships xmlns="http://schemas.openxmlformats.org/package/2006/relationships"><Relationship Id="rId2" Type="http://schemas.openxmlformats.org/officeDocument/2006/relationships/hyperlink" Target="#'&#1587;&#1740;&#1575;&#1587;&#1578; &#1607;&#1575; &#1608; &#1576;&#1585;&#1606;&#1575;&#1605;&#1607; &#1607;&#1575; 12 '!A1"/><Relationship Id="rId1" Type="http://schemas.openxmlformats.org/officeDocument/2006/relationships/hyperlink" Target="#'&#1575;&#1607;&#1583;&#1575;&#1601; 12'!A1"/></Relationships>
</file>

<file path=xl/drawings/_rels/drawing55.xml.rels><?xml version="1.0" encoding="UTF-8" standalone="yes"?>
<Relationships xmlns="http://schemas.openxmlformats.org/package/2006/relationships"><Relationship Id="rId3" Type="http://schemas.openxmlformats.org/officeDocument/2006/relationships/hyperlink" Target="#&#1588;&#1585;&#1608;&#1593;!A1"/><Relationship Id="rId2" Type="http://schemas.openxmlformats.org/officeDocument/2006/relationships/hyperlink" Target="#'&#1588;&#1575;&#1582;&#1589; 12'!A1"/><Relationship Id="rId1" Type="http://schemas.openxmlformats.org/officeDocument/2006/relationships/hyperlink" Target="&#1576;&#1585;&#1606;&#1575;&#1605;&#1607;%20&#1588;&#1588;&#1605;%20&#1587;&#1575;&#1586;&#1605;&#1575;&#1606;%20&#1583;&#1575;&#1605;&#1662;&#1586;&#1588;&#1705;&#1740;%20&#1705;&#1588;&#1608;&#1585;.xlsx#'&#1575;&#1607;&#1583;&#1575;&#1601; &#1705;&#1605;&#1740; 1'!A1" TargetMode="External"/><Relationship Id="rId4" Type="http://schemas.openxmlformats.org/officeDocument/2006/relationships/image" Target="../media/image1.png"/></Relationships>
</file>

<file path=xl/drawings/_rels/drawing56.xml.rels><?xml version="1.0" encoding="UTF-8" standalone="yes"?>
<Relationships xmlns="http://schemas.openxmlformats.org/package/2006/relationships"><Relationship Id="rId2" Type="http://schemas.openxmlformats.org/officeDocument/2006/relationships/hyperlink" Target="#'&#1593;&#1605;&#1604;&#1740;&#1575;&#1578;-&#1601;&#1593;&#1575;&#1604;&#1740;&#1578; &#1607;&#1575; 13  '!A1"/><Relationship Id="rId1" Type="http://schemas.openxmlformats.org/officeDocument/2006/relationships/hyperlink" Target="#&#1588;&#1585;&#1608;&#1593;!A1"/></Relationships>
</file>

<file path=xl/drawings/_rels/drawing57.xml.rels><?xml version="1.0" encoding="UTF-8" standalone="yes"?>
<Relationships xmlns="http://schemas.openxmlformats.org/package/2006/relationships"><Relationship Id="rId2" Type="http://schemas.openxmlformats.org/officeDocument/2006/relationships/hyperlink" Target="#'&#1575;&#1607;&#1583;&#1575;&#1601; 13'!A1"/><Relationship Id="rId1" Type="http://schemas.openxmlformats.org/officeDocument/2006/relationships/hyperlink" Target="#'&#1576;&#1585;&#1588; &#1575;&#1587;&#1578;&#1575;&#1606;&#1740; &#1607;&#1583;&#1601; 13'!A1"/></Relationships>
</file>

<file path=xl/drawings/_rels/drawing58.xml.rels><?xml version="1.0" encoding="UTF-8" standalone="yes"?>
<Relationships xmlns="http://schemas.openxmlformats.org/package/2006/relationships"><Relationship Id="rId2" Type="http://schemas.openxmlformats.org/officeDocument/2006/relationships/hyperlink" Target="#'&#1588;&#1575;&#1582;&#1589; 13'!A1"/><Relationship Id="rId1" Type="http://schemas.openxmlformats.org/officeDocument/2006/relationships/hyperlink" Target="#'&#1593;&#1605;&#1604;&#1740;&#1575;&#1578;-&#1601;&#1593;&#1575;&#1604;&#1740;&#1578; &#1607;&#1575; 13  '!A1"/></Relationships>
</file>

<file path=xl/drawings/_rels/drawing59.xml.rels><?xml version="1.0" encoding="UTF-8" standalone="yes"?>
<Relationships xmlns="http://schemas.openxmlformats.org/package/2006/relationships"><Relationship Id="rId2" Type="http://schemas.openxmlformats.org/officeDocument/2006/relationships/hyperlink" Target="#'&#1587;&#1740;&#1575;&#1587;&#1578; &#1607;&#1575; &#1608; &#1576;&#1585;&#1606;&#1575;&#1605;&#1607; &#1607;&#1575; 13 '!A1"/><Relationship Id="rId1" Type="http://schemas.openxmlformats.org/officeDocument/2006/relationships/hyperlink" Target="#'&#1575;&#1607;&#1583;&#1575;&#1601; 13'!A1"/></Relationships>
</file>

<file path=xl/drawings/_rels/drawing6.xml.rels><?xml version="1.0" encoding="UTF-8" standalone="yes"?>
<Relationships xmlns="http://schemas.openxmlformats.org/package/2006/relationships"><Relationship Id="rId2" Type="http://schemas.openxmlformats.org/officeDocument/2006/relationships/hyperlink" Target="#'&#1580;&#1583;&#1608;&#1604; 2 &#1581;&#1580;&#1605; &#1575;&#1607;&#1583;&#1575;&#1601; &#1705;&#1605;&#1740;'!A1"/><Relationship Id="rId1" Type="http://schemas.openxmlformats.org/officeDocument/2006/relationships/hyperlink" Target="#&#1588;&#1585;&#1608;&#1593;!A1"/></Relationships>
</file>

<file path=xl/drawings/_rels/drawing60.xml.rels><?xml version="1.0" encoding="UTF-8" standalone="yes"?>
<Relationships xmlns="http://schemas.openxmlformats.org/package/2006/relationships"><Relationship Id="rId3" Type="http://schemas.openxmlformats.org/officeDocument/2006/relationships/hyperlink" Target="#&#1588;&#1585;&#1608;&#1593;!A1"/><Relationship Id="rId2" Type="http://schemas.openxmlformats.org/officeDocument/2006/relationships/hyperlink" Target="#'&#1588;&#1575;&#1582;&#1589; 13'!A1"/><Relationship Id="rId1" Type="http://schemas.openxmlformats.org/officeDocument/2006/relationships/hyperlink" Target="&#1576;&#1585;&#1606;&#1575;&#1605;&#1607;%20&#1588;&#1588;&#1605;%20&#1587;&#1575;&#1586;&#1605;&#1575;&#1606;%20&#1583;&#1575;&#1605;&#1662;&#1586;&#1588;&#1705;&#1740;%20&#1705;&#1588;&#1608;&#1585;.xlsx#'&#1575;&#1607;&#1583;&#1575;&#1601; &#1705;&#1605;&#1740; 1'!A1" TargetMode="External"/><Relationship Id="rId4" Type="http://schemas.openxmlformats.org/officeDocument/2006/relationships/image" Target="../media/image1.png"/></Relationships>
</file>

<file path=xl/drawings/_rels/drawing61.xml.rels><?xml version="1.0" encoding="UTF-8" standalone="yes"?>
<Relationships xmlns="http://schemas.openxmlformats.org/package/2006/relationships"><Relationship Id="rId2" Type="http://schemas.openxmlformats.org/officeDocument/2006/relationships/hyperlink" Target="#'&#1593;&#1605;&#1604;&#1740;&#1575;&#1578;-&#1601;&#1593;&#1575;&#1604;&#1740;&#1578; &#1607;&#1575; 14 '!A1"/><Relationship Id="rId1" Type="http://schemas.openxmlformats.org/officeDocument/2006/relationships/hyperlink" Target="#&#1588;&#1585;&#1608;&#1593;!A1"/></Relationships>
</file>

<file path=xl/drawings/_rels/drawing62.xml.rels><?xml version="1.0" encoding="UTF-8" standalone="yes"?>
<Relationships xmlns="http://schemas.openxmlformats.org/package/2006/relationships"><Relationship Id="rId2" Type="http://schemas.openxmlformats.org/officeDocument/2006/relationships/hyperlink" Target="#'&#1588;&#1575;&#1582;&#1589; 14'!A1"/><Relationship Id="rId1" Type="http://schemas.openxmlformats.org/officeDocument/2006/relationships/hyperlink" Target="#'&#1576;&#1585;&#1588; &#1575;&#1587;&#1578;&#1575;&#1606;&#1740; &#1607;&#1583;&#1601; 14'!A1"/></Relationships>
</file>

<file path=xl/drawings/_rels/drawing63.xml.rels><?xml version="1.0" encoding="UTF-8" standalone="yes"?>
<Relationships xmlns="http://schemas.openxmlformats.org/package/2006/relationships"><Relationship Id="rId2" Type="http://schemas.openxmlformats.org/officeDocument/2006/relationships/hyperlink" Target="#'&#1587;&#1740;&#1575;&#1587;&#1578; &#1607;&#1575; &#1608; &#1576;&#1585;&#1606;&#1575;&#1605;&#1607; &#1607;&#1575; 14 '!A1"/><Relationship Id="rId1" Type="http://schemas.openxmlformats.org/officeDocument/2006/relationships/hyperlink" Target="#'&#1593;&#1605;&#1604;&#1740;&#1575;&#1578;-&#1601;&#1593;&#1575;&#1604;&#1740;&#1578; &#1607;&#1575; 14 '!A1"/></Relationships>
</file>

<file path=xl/drawings/_rels/drawing64.xml.rels><?xml version="1.0" encoding="UTF-8" standalone="yes"?>
<Relationships xmlns="http://schemas.openxmlformats.org/package/2006/relationships"><Relationship Id="rId3" Type="http://schemas.openxmlformats.org/officeDocument/2006/relationships/hyperlink" Target="#&#1588;&#1585;&#1608;&#1593;!A1"/><Relationship Id="rId2" Type="http://schemas.openxmlformats.org/officeDocument/2006/relationships/hyperlink" Target="#'&#1588;&#1575;&#1582;&#1589; 14'!A1"/><Relationship Id="rId1" Type="http://schemas.openxmlformats.org/officeDocument/2006/relationships/hyperlink" Target="&#1576;&#1585;&#1606;&#1575;&#1605;&#1607;%20&#1588;&#1588;&#1605;%20&#1587;&#1575;&#1586;&#1605;&#1575;&#1606;%20&#1583;&#1575;&#1605;&#1662;&#1586;&#1588;&#1705;&#1740;%20&#1705;&#1588;&#1608;&#1585;.xlsx#'&#1575;&#1607;&#1583;&#1575;&#1601; &#1705;&#1605;&#1740; 1'!A1" TargetMode="External"/><Relationship Id="rId4" Type="http://schemas.openxmlformats.org/officeDocument/2006/relationships/image" Target="../media/image1.png"/></Relationships>
</file>

<file path=xl/drawings/_rels/drawing65.xml.rels><?xml version="1.0" encoding="UTF-8" standalone="yes"?>
<Relationships xmlns="http://schemas.openxmlformats.org/package/2006/relationships"><Relationship Id="rId2" Type="http://schemas.openxmlformats.org/officeDocument/2006/relationships/hyperlink" Target="#'&#1593;&#1605;&#1604;&#1740;&#1575;&#1578;-&#1601;&#1593;&#1575;&#1604;&#1740;&#1578; &#1607;&#1575; 15 '!A1"/><Relationship Id="rId1" Type="http://schemas.openxmlformats.org/officeDocument/2006/relationships/hyperlink" Target="#&#1588;&#1585;&#1608;&#1593;!A1"/></Relationships>
</file>

<file path=xl/drawings/_rels/drawing66.xml.rels><?xml version="1.0" encoding="UTF-8" standalone="yes"?>
<Relationships xmlns="http://schemas.openxmlformats.org/package/2006/relationships"><Relationship Id="rId2" Type="http://schemas.openxmlformats.org/officeDocument/2006/relationships/hyperlink" Target="#'&#1575;&#1607;&#1583;&#1575;&#1601; 15'!A1"/><Relationship Id="rId1" Type="http://schemas.openxmlformats.org/officeDocument/2006/relationships/hyperlink" Target="#'&#1576;&#1585;&#1588; &#1575;&#1587;&#1578;&#1575;&#1606;&#1740; &#1607;&#1583;&#1601; 15'!A1"/></Relationships>
</file>

<file path=xl/drawings/_rels/drawing67.xml.rels><?xml version="1.0" encoding="UTF-8" standalone="yes"?>
<Relationships xmlns="http://schemas.openxmlformats.org/package/2006/relationships"><Relationship Id="rId2" Type="http://schemas.openxmlformats.org/officeDocument/2006/relationships/hyperlink" Target="#'&#1588;&#1575;&#1582;&#1589; 15'!A1"/><Relationship Id="rId1" Type="http://schemas.openxmlformats.org/officeDocument/2006/relationships/hyperlink" Target="#'&#1593;&#1605;&#1604;&#1740;&#1575;&#1578;-&#1601;&#1593;&#1575;&#1604;&#1740;&#1578; &#1607;&#1575; 15 '!A1"/></Relationships>
</file>

<file path=xl/drawings/_rels/drawing68.xml.rels><?xml version="1.0" encoding="UTF-8" standalone="yes"?>
<Relationships xmlns="http://schemas.openxmlformats.org/package/2006/relationships"><Relationship Id="rId2" Type="http://schemas.openxmlformats.org/officeDocument/2006/relationships/hyperlink" Target="#'&#1587;&#1740;&#1575;&#1587;&#1578; &#1607;&#1575; &#1608; &#1576;&#1585;&#1606;&#1575;&#1605;&#1607; &#1607;&#1575; 15'!A1"/><Relationship Id="rId1" Type="http://schemas.openxmlformats.org/officeDocument/2006/relationships/hyperlink" Target="#'&#1575;&#1607;&#1583;&#1575;&#1601; 15'!A1"/></Relationships>
</file>

<file path=xl/drawings/_rels/drawing69.xml.rels><?xml version="1.0" encoding="UTF-8" standalone="yes"?>
<Relationships xmlns="http://schemas.openxmlformats.org/package/2006/relationships"><Relationship Id="rId3" Type="http://schemas.openxmlformats.org/officeDocument/2006/relationships/hyperlink" Target="#&#1588;&#1585;&#1608;&#1593;!A1"/><Relationship Id="rId2" Type="http://schemas.openxmlformats.org/officeDocument/2006/relationships/hyperlink" Target="#'&#1588;&#1575;&#1582;&#1589; 15'!A1"/><Relationship Id="rId1" Type="http://schemas.openxmlformats.org/officeDocument/2006/relationships/hyperlink" Target="&#1576;&#1585;&#1606;&#1575;&#1605;&#1607;%20&#1588;&#1588;&#1605;%20&#1587;&#1575;&#1586;&#1605;&#1575;&#1606;%20&#1583;&#1575;&#1605;&#1662;&#1586;&#1588;&#1705;&#1740;%20&#1705;&#1588;&#1608;&#1585;.xlsx#'&#1575;&#1607;&#1583;&#1575;&#1601; &#1705;&#1605;&#1740; 1'!A1" TargetMode="External"/><Relationship Id="rId4"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hyperlink" Target="#'&#1580;&#1583;&#1608;&#1604; 2 &#1575;&#1607;&#1583;&#1575;&#1601; &#1705;&#1605;&#1740;'!A1"/></Relationships>
</file>

<file path=xl/drawings/_rels/drawing70.xml.rels><?xml version="1.0" encoding="UTF-8" standalone="yes"?>
<Relationships xmlns="http://schemas.openxmlformats.org/package/2006/relationships"><Relationship Id="rId2" Type="http://schemas.openxmlformats.org/officeDocument/2006/relationships/hyperlink" Target="#'&#1593;&#1605;&#1604;&#1740;&#1575;&#1578;-&#1601;&#1593;&#1575;&#1604;&#1740;&#1578; &#1607;&#1575; 16'!A1"/><Relationship Id="rId1" Type="http://schemas.openxmlformats.org/officeDocument/2006/relationships/hyperlink" Target="#&#1588;&#1585;&#1608;&#1593;!A1"/></Relationships>
</file>

<file path=xl/drawings/_rels/drawing71.xml.rels><?xml version="1.0" encoding="UTF-8" standalone="yes"?>
<Relationships xmlns="http://schemas.openxmlformats.org/package/2006/relationships"><Relationship Id="rId2" Type="http://schemas.openxmlformats.org/officeDocument/2006/relationships/hyperlink" Target="#'&#1588;&#1575;&#1582;&#1589; 16'!A1"/><Relationship Id="rId1" Type="http://schemas.openxmlformats.org/officeDocument/2006/relationships/hyperlink" Target="#'&#1576;&#1585;&#1588; &#1575;&#1587;&#1578;&#1575;&#1606;&#1740; &#1607;&#1583;&#1601; 16'!A1"/></Relationships>
</file>

<file path=xl/drawings/_rels/drawing72.xml.rels><?xml version="1.0" encoding="UTF-8" standalone="yes"?>
<Relationships xmlns="http://schemas.openxmlformats.org/package/2006/relationships"><Relationship Id="rId2" Type="http://schemas.openxmlformats.org/officeDocument/2006/relationships/hyperlink" Target="#'&#1587;&#1740;&#1575;&#1587;&#1578; &#1607;&#1575; &#1608; &#1576;&#1585;&#1606;&#1575;&#1605;&#1607; &#1607;&#1575; 16'!A1"/><Relationship Id="rId1" Type="http://schemas.openxmlformats.org/officeDocument/2006/relationships/hyperlink" Target="#'&#1593;&#1605;&#1604;&#1740;&#1575;&#1578;-&#1601;&#1593;&#1575;&#1604;&#1740;&#1578; &#1607;&#1575; 16'!A1"/></Relationships>
</file>

<file path=xl/drawings/_rels/drawing73.xml.rels><?xml version="1.0" encoding="UTF-8" standalone="yes"?>
<Relationships xmlns="http://schemas.openxmlformats.org/package/2006/relationships"><Relationship Id="rId3" Type="http://schemas.openxmlformats.org/officeDocument/2006/relationships/hyperlink" Target="#&#1588;&#1585;&#1608;&#1593;!A1"/><Relationship Id="rId2" Type="http://schemas.openxmlformats.org/officeDocument/2006/relationships/hyperlink" Target="#'&#1588;&#1575;&#1582;&#1589; 16'!A1"/><Relationship Id="rId1" Type="http://schemas.openxmlformats.org/officeDocument/2006/relationships/hyperlink" Target="&#1576;&#1585;&#1606;&#1575;&#1605;&#1607;%20&#1588;&#1588;&#1605;%20&#1587;&#1575;&#1586;&#1605;&#1575;&#1606;%20&#1583;&#1575;&#1605;&#1662;&#1586;&#1588;&#1705;&#1740;%20&#1705;&#1588;&#1608;&#1585;.xlsx#'&#1575;&#1607;&#1583;&#1575;&#1601; &#1705;&#1605;&#1740; 1'!A1" TargetMode="External"/><Relationship Id="rId4"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hyperlink" Target="#'&#1593;&#1605;&#1604;&#1740;&#1575;&#1578;-&#1601;&#1593;&#1575;&#1604;&#1740;&#1578; &#1607;&#1575; 1'!A1"/><Relationship Id="rId1" Type="http://schemas.openxmlformats.org/officeDocument/2006/relationships/hyperlink" Target="#&#1588;&#1585;&#1608;&#1593;!A1"/></Relationships>
</file>

<file path=xl/drawings/_rels/drawing9.xml.rels><?xml version="1.0" encoding="UTF-8" standalone="yes"?>
<Relationships xmlns="http://schemas.openxmlformats.org/package/2006/relationships"><Relationship Id="rId2" Type="http://schemas.openxmlformats.org/officeDocument/2006/relationships/hyperlink" Target="#'&#1575;&#1607;&#1583;&#1575;&#1601; 1'!A1"/><Relationship Id="rId1" Type="http://schemas.openxmlformats.org/officeDocument/2006/relationships/hyperlink" Target="#'&#1576;&#1585;&#1588; &#1575;&#1587;&#1578;&#1575;&#1606;&#1740; &#1607;&#1583;&#1601; 1'!A1"/></Relationships>
</file>

<file path=xl/drawings/drawing1.xml><?xml version="1.0" encoding="utf-8"?>
<xdr:wsDr xmlns:xdr="http://schemas.openxmlformats.org/drawingml/2006/spreadsheetDrawing" xmlns:a="http://schemas.openxmlformats.org/drawingml/2006/main">
  <xdr:twoCellAnchor>
    <xdr:from>
      <xdr:col>0</xdr:col>
      <xdr:colOff>200025</xdr:colOff>
      <xdr:row>0</xdr:row>
      <xdr:rowOff>161925</xdr:rowOff>
    </xdr:from>
    <xdr:to>
      <xdr:col>0</xdr:col>
      <xdr:colOff>438150</xdr:colOff>
      <xdr:row>0</xdr:row>
      <xdr:rowOff>466728</xdr:rowOff>
    </xdr:to>
    <xdr:sp macro="" textlink="">
      <xdr:nvSpPr>
        <xdr:cNvPr id="2" name="Isosceles Triangle 1">
          <a:hlinkClick xmlns:r="http://schemas.openxmlformats.org/officeDocument/2006/relationships" r:id="rId1"/>
        </xdr:cNvPr>
        <xdr:cNvSpPr/>
      </xdr:nvSpPr>
      <xdr:spPr bwMode="auto">
        <a:xfrm rot="5400000">
          <a:off x="8742649836" y="195264"/>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57153</xdr:colOff>
      <xdr:row>0</xdr:row>
      <xdr:rowOff>228600</xdr:rowOff>
    </xdr:from>
    <xdr:to>
      <xdr:col>0</xdr:col>
      <xdr:colOff>295278</xdr:colOff>
      <xdr:row>0</xdr:row>
      <xdr:rowOff>533403</xdr:rowOff>
    </xdr:to>
    <xdr:sp macro="" textlink="">
      <xdr:nvSpPr>
        <xdr:cNvPr id="3" name="Isosceles Triangle 2">
          <a:hlinkClick xmlns:r="http://schemas.openxmlformats.org/officeDocument/2006/relationships" r:id="rId1"/>
        </xdr:cNvPr>
        <xdr:cNvSpPr/>
      </xdr:nvSpPr>
      <xdr:spPr bwMode="auto">
        <a:xfrm rot="5400000">
          <a:off x="8746631283" y="261939"/>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0</xdr:col>
      <xdr:colOff>352428</xdr:colOff>
      <xdr:row>0</xdr:row>
      <xdr:rowOff>228600</xdr:rowOff>
    </xdr:from>
    <xdr:to>
      <xdr:col>0</xdr:col>
      <xdr:colOff>590553</xdr:colOff>
      <xdr:row>0</xdr:row>
      <xdr:rowOff>533403</xdr:rowOff>
    </xdr:to>
    <xdr:sp macro="" textlink="">
      <xdr:nvSpPr>
        <xdr:cNvPr id="4" name="Isosceles Triangle 3">
          <a:hlinkClick xmlns:r="http://schemas.openxmlformats.org/officeDocument/2006/relationships" r:id="rId2"/>
        </xdr:cNvPr>
        <xdr:cNvSpPr/>
      </xdr:nvSpPr>
      <xdr:spPr bwMode="auto">
        <a:xfrm rot="16200000">
          <a:off x="8746336008" y="261939"/>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152403</xdr:colOff>
      <xdr:row>0</xdr:row>
      <xdr:rowOff>381000</xdr:rowOff>
    </xdr:from>
    <xdr:to>
      <xdr:col>0</xdr:col>
      <xdr:colOff>390528</xdr:colOff>
      <xdr:row>0</xdr:row>
      <xdr:rowOff>685803</xdr:rowOff>
    </xdr:to>
    <xdr:sp macro="" textlink="">
      <xdr:nvSpPr>
        <xdr:cNvPr id="3" name="Isosceles Triangle 2">
          <a:hlinkClick xmlns:r="http://schemas.openxmlformats.org/officeDocument/2006/relationships" r:id="rId1"/>
        </xdr:cNvPr>
        <xdr:cNvSpPr/>
      </xdr:nvSpPr>
      <xdr:spPr bwMode="auto">
        <a:xfrm rot="5400000">
          <a:off x="8744050008" y="414339"/>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0</xdr:col>
      <xdr:colOff>447678</xdr:colOff>
      <xdr:row>0</xdr:row>
      <xdr:rowOff>381000</xdr:rowOff>
    </xdr:from>
    <xdr:to>
      <xdr:col>0</xdr:col>
      <xdr:colOff>685803</xdr:colOff>
      <xdr:row>0</xdr:row>
      <xdr:rowOff>685803</xdr:rowOff>
    </xdr:to>
    <xdr:sp macro="" textlink="">
      <xdr:nvSpPr>
        <xdr:cNvPr id="4" name="Isosceles Triangle 3">
          <a:hlinkClick xmlns:r="http://schemas.openxmlformats.org/officeDocument/2006/relationships" r:id="rId2"/>
        </xdr:cNvPr>
        <xdr:cNvSpPr/>
      </xdr:nvSpPr>
      <xdr:spPr bwMode="auto">
        <a:xfrm rot="16200000">
          <a:off x="8743754733" y="414339"/>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0</xdr:colOff>
      <xdr:row>0</xdr:row>
      <xdr:rowOff>95251</xdr:rowOff>
    </xdr:from>
    <xdr:to>
      <xdr:col>7</xdr:col>
      <xdr:colOff>0</xdr:colOff>
      <xdr:row>1</xdr:row>
      <xdr:rowOff>85728</xdr:rowOff>
    </xdr:to>
    <xdr:sp macro="" textlink="">
      <xdr:nvSpPr>
        <xdr:cNvPr id="2" name="Isosceles Triangle 1">
          <a:hlinkClick xmlns:r="http://schemas.openxmlformats.org/officeDocument/2006/relationships" r:id="rId1"/>
        </xdr:cNvPr>
        <xdr:cNvSpPr/>
      </xdr:nvSpPr>
      <xdr:spPr>
        <a:xfrm rot="5400000">
          <a:off x="23397771974" y="247652"/>
          <a:ext cx="304802" cy="0"/>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5</xdr:col>
      <xdr:colOff>1390653</xdr:colOff>
      <xdr:row>0</xdr:row>
      <xdr:rowOff>76200</xdr:rowOff>
    </xdr:from>
    <xdr:to>
      <xdr:col>6</xdr:col>
      <xdr:colOff>114303</xdr:colOff>
      <xdr:row>1</xdr:row>
      <xdr:rowOff>66678</xdr:rowOff>
    </xdr:to>
    <xdr:sp macro="" textlink="">
      <xdr:nvSpPr>
        <xdr:cNvPr id="3" name="Isosceles Triangle 2">
          <a:hlinkClick xmlns:r="http://schemas.openxmlformats.org/officeDocument/2006/relationships" r:id="rId2"/>
        </xdr:cNvPr>
        <xdr:cNvSpPr/>
      </xdr:nvSpPr>
      <xdr:spPr bwMode="auto">
        <a:xfrm rot="5400000">
          <a:off x="23399176908" y="109539"/>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editAs="oneCell">
    <xdr:from>
      <xdr:col>6</xdr:col>
      <xdr:colOff>171450</xdr:colOff>
      <xdr:row>0</xdr:row>
      <xdr:rowOff>95249</xdr:rowOff>
    </xdr:from>
    <xdr:to>
      <xdr:col>6</xdr:col>
      <xdr:colOff>464854</xdr:colOff>
      <xdr:row>1</xdr:row>
      <xdr:rowOff>38099</xdr:rowOff>
    </xdr:to>
    <xdr:pic>
      <xdr:nvPicPr>
        <xdr:cNvPr id="7" name="Picture 6" descr="23061979.png">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23398859696" y="95249"/>
          <a:ext cx="293404" cy="2571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114303</xdr:colOff>
      <xdr:row>0</xdr:row>
      <xdr:rowOff>123825</xdr:rowOff>
    </xdr:from>
    <xdr:to>
      <xdr:col>0</xdr:col>
      <xdr:colOff>352428</xdr:colOff>
      <xdr:row>0</xdr:row>
      <xdr:rowOff>428628</xdr:rowOff>
    </xdr:to>
    <xdr:sp macro="" textlink="">
      <xdr:nvSpPr>
        <xdr:cNvPr id="2" name="Isosceles Triangle 1">
          <a:hlinkClick xmlns:r="http://schemas.openxmlformats.org/officeDocument/2006/relationships" r:id="rId1"/>
        </xdr:cNvPr>
        <xdr:cNvSpPr/>
      </xdr:nvSpPr>
      <xdr:spPr bwMode="auto">
        <a:xfrm rot="5400000">
          <a:off x="9987700683" y="157164"/>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0</xdr:col>
      <xdr:colOff>400053</xdr:colOff>
      <xdr:row>0</xdr:row>
      <xdr:rowOff>123825</xdr:rowOff>
    </xdr:from>
    <xdr:to>
      <xdr:col>1</xdr:col>
      <xdr:colOff>200028</xdr:colOff>
      <xdr:row>0</xdr:row>
      <xdr:rowOff>428628</xdr:rowOff>
    </xdr:to>
    <xdr:sp macro="" textlink="">
      <xdr:nvSpPr>
        <xdr:cNvPr id="3" name="Isosceles Triangle 2">
          <a:hlinkClick xmlns:r="http://schemas.openxmlformats.org/officeDocument/2006/relationships" r:id="rId2"/>
        </xdr:cNvPr>
        <xdr:cNvSpPr/>
      </xdr:nvSpPr>
      <xdr:spPr bwMode="auto">
        <a:xfrm rot="16200000">
          <a:off x="9987414933" y="157164"/>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66678</xdr:colOff>
      <xdr:row>0</xdr:row>
      <xdr:rowOff>228600</xdr:rowOff>
    </xdr:from>
    <xdr:to>
      <xdr:col>0</xdr:col>
      <xdr:colOff>304803</xdr:colOff>
      <xdr:row>0</xdr:row>
      <xdr:rowOff>533403</xdr:rowOff>
    </xdr:to>
    <xdr:sp macro="" textlink="">
      <xdr:nvSpPr>
        <xdr:cNvPr id="3" name="Isosceles Triangle 2">
          <a:hlinkClick xmlns:r="http://schemas.openxmlformats.org/officeDocument/2006/relationships" r:id="rId1"/>
        </xdr:cNvPr>
        <xdr:cNvSpPr/>
      </xdr:nvSpPr>
      <xdr:spPr bwMode="auto">
        <a:xfrm rot="5400000">
          <a:off x="26809879383" y="261939"/>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0</xdr:col>
      <xdr:colOff>352428</xdr:colOff>
      <xdr:row>0</xdr:row>
      <xdr:rowOff>228600</xdr:rowOff>
    </xdr:from>
    <xdr:to>
      <xdr:col>1</xdr:col>
      <xdr:colOff>57153</xdr:colOff>
      <xdr:row>0</xdr:row>
      <xdr:rowOff>533403</xdr:rowOff>
    </xdr:to>
    <xdr:sp macro="" textlink="">
      <xdr:nvSpPr>
        <xdr:cNvPr id="4" name="Isosceles Triangle 3">
          <a:hlinkClick xmlns:r="http://schemas.openxmlformats.org/officeDocument/2006/relationships" r:id="rId2"/>
        </xdr:cNvPr>
        <xdr:cNvSpPr/>
      </xdr:nvSpPr>
      <xdr:spPr bwMode="auto">
        <a:xfrm rot="16200000">
          <a:off x="26809593633" y="261939"/>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85728</xdr:colOff>
      <xdr:row>0</xdr:row>
      <xdr:rowOff>247650</xdr:rowOff>
    </xdr:from>
    <xdr:to>
      <xdr:col>0</xdr:col>
      <xdr:colOff>323853</xdr:colOff>
      <xdr:row>0</xdr:row>
      <xdr:rowOff>552453</xdr:rowOff>
    </xdr:to>
    <xdr:sp macro="" textlink="">
      <xdr:nvSpPr>
        <xdr:cNvPr id="3" name="Isosceles Triangle 2">
          <a:hlinkClick xmlns:r="http://schemas.openxmlformats.org/officeDocument/2006/relationships" r:id="rId1"/>
        </xdr:cNvPr>
        <xdr:cNvSpPr/>
      </xdr:nvSpPr>
      <xdr:spPr bwMode="auto">
        <a:xfrm rot="5400000">
          <a:off x="8746602708" y="280989"/>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0</xdr:col>
      <xdr:colOff>371478</xdr:colOff>
      <xdr:row>0</xdr:row>
      <xdr:rowOff>247650</xdr:rowOff>
    </xdr:from>
    <xdr:to>
      <xdr:col>0</xdr:col>
      <xdr:colOff>609603</xdr:colOff>
      <xdr:row>0</xdr:row>
      <xdr:rowOff>552453</xdr:rowOff>
    </xdr:to>
    <xdr:sp macro="" textlink="">
      <xdr:nvSpPr>
        <xdr:cNvPr id="4" name="Isosceles Triangle 3">
          <a:hlinkClick xmlns:r="http://schemas.openxmlformats.org/officeDocument/2006/relationships" r:id="rId2"/>
        </xdr:cNvPr>
        <xdr:cNvSpPr/>
      </xdr:nvSpPr>
      <xdr:spPr bwMode="auto">
        <a:xfrm rot="16200000">
          <a:off x="8746316958" y="280989"/>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47628</xdr:colOff>
      <xdr:row>0</xdr:row>
      <xdr:rowOff>123825</xdr:rowOff>
    </xdr:from>
    <xdr:to>
      <xdr:col>0</xdr:col>
      <xdr:colOff>285753</xdr:colOff>
      <xdr:row>0</xdr:row>
      <xdr:rowOff>428628</xdr:rowOff>
    </xdr:to>
    <xdr:sp macro="" textlink="">
      <xdr:nvSpPr>
        <xdr:cNvPr id="3" name="Isosceles Triangle 2">
          <a:hlinkClick xmlns:r="http://schemas.openxmlformats.org/officeDocument/2006/relationships" r:id="rId1"/>
        </xdr:cNvPr>
        <xdr:cNvSpPr/>
      </xdr:nvSpPr>
      <xdr:spPr bwMode="auto">
        <a:xfrm rot="5400000">
          <a:off x="8744154783" y="157164"/>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0</xdr:col>
      <xdr:colOff>333378</xdr:colOff>
      <xdr:row>0</xdr:row>
      <xdr:rowOff>123825</xdr:rowOff>
    </xdr:from>
    <xdr:to>
      <xdr:col>0</xdr:col>
      <xdr:colOff>571503</xdr:colOff>
      <xdr:row>0</xdr:row>
      <xdr:rowOff>428628</xdr:rowOff>
    </xdr:to>
    <xdr:sp macro="" textlink="">
      <xdr:nvSpPr>
        <xdr:cNvPr id="4" name="Isosceles Triangle 3">
          <a:hlinkClick xmlns:r="http://schemas.openxmlformats.org/officeDocument/2006/relationships" r:id="rId2"/>
        </xdr:cNvPr>
        <xdr:cNvSpPr/>
      </xdr:nvSpPr>
      <xdr:spPr bwMode="auto">
        <a:xfrm rot="16200000">
          <a:off x="8743869033" y="157164"/>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6</xdr:col>
      <xdr:colOff>0</xdr:colOff>
      <xdr:row>0</xdr:row>
      <xdr:rowOff>95251</xdr:rowOff>
    </xdr:from>
    <xdr:to>
      <xdr:col>6</xdr:col>
      <xdr:colOff>0</xdr:colOff>
      <xdr:row>1</xdr:row>
      <xdr:rowOff>85728</xdr:rowOff>
    </xdr:to>
    <xdr:sp macro="" textlink="">
      <xdr:nvSpPr>
        <xdr:cNvPr id="2" name="Isosceles Triangle 1">
          <a:hlinkClick xmlns:r="http://schemas.openxmlformats.org/officeDocument/2006/relationships" r:id="rId1"/>
        </xdr:cNvPr>
        <xdr:cNvSpPr/>
      </xdr:nvSpPr>
      <xdr:spPr>
        <a:xfrm rot="5400000">
          <a:off x="23398219649" y="247652"/>
          <a:ext cx="304802" cy="0"/>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4</xdr:col>
      <xdr:colOff>962028</xdr:colOff>
      <xdr:row>0</xdr:row>
      <xdr:rowOff>123825</xdr:rowOff>
    </xdr:from>
    <xdr:to>
      <xdr:col>4</xdr:col>
      <xdr:colOff>1200153</xdr:colOff>
      <xdr:row>1</xdr:row>
      <xdr:rowOff>114303</xdr:rowOff>
    </xdr:to>
    <xdr:sp macro="" textlink="">
      <xdr:nvSpPr>
        <xdr:cNvPr id="3" name="Isosceles Triangle 2">
          <a:hlinkClick xmlns:r="http://schemas.openxmlformats.org/officeDocument/2006/relationships" r:id="rId2"/>
        </xdr:cNvPr>
        <xdr:cNvSpPr/>
      </xdr:nvSpPr>
      <xdr:spPr bwMode="auto">
        <a:xfrm rot="5400000">
          <a:off x="23399900808" y="157164"/>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editAs="oneCell">
    <xdr:from>
      <xdr:col>4</xdr:col>
      <xdr:colOff>1228725</xdr:colOff>
      <xdr:row>0</xdr:row>
      <xdr:rowOff>142875</xdr:rowOff>
    </xdr:from>
    <xdr:to>
      <xdr:col>5</xdr:col>
      <xdr:colOff>141004</xdr:colOff>
      <xdr:row>1</xdr:row>
      <xdr:rowOff>85725</xdr:rowOff>
    </xdr:to>
    <xdr:pic>
      <xdr:nvPicPr>
        <xdr:cNvPr id="5" name="Picture 4" descr="23061979.png">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23399612171" y="142875"/>
          <a:ext cx="293404" cy="257175"/>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142878</xdr:colOff>
      <xdr:row>0</xdr:row>
      <xdr:rowOff>123825</xdr:rowOff>
    </xdr:from>
    <xdr:to>
      <xdr:col>0</xdr:col>
      <xdr:colOff>381003</xdr:colOff>
      <xdr:row>0</xdr:row>
      <xdr:rowOff>428628</xdr:rowOff>
    </xdr:to>
    <xdr:sp macro="" textlink="">
      <xdr:nvSpPr>
        <xdr:cNvPr id="2" name="Isosceles Triangle 1">
          <a:hlinkClick xmlns:r="http://schemas.openxmlformats.org/officeDocument/2006/relationships" r:id="rId1"/>
        </xdr:cNvPr>
        <xdr:cNvSpPr/>
      </xdr:nvSpPr>
      <xdr:spPr bwMode="auto">
        <a:xfrm rot="5400000">
          <a:off x="9987672108" y="157164"/>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0</xdr:col>
      <xdr:colOff>428628</xdr:colOff>
      <xdr:row>0</xdr:row>
      <xdr:rowOff>123825</xdr:rowOff>
    </xdr:from>
    <xdr:to>
      <xdr:col>1</xdr:col>
      <xdr:colOff>228603</xdr:colOff>
      <xdr:row>0</xdr:row>
      <xdr:rowOff>428628</xdr:rowOff>
    </xdr:to>
    <xdr:sp macro="" textlink="">
      <xdr:nvSpPr>
        <xdr:cNvPr id="3" name="Isosceles Triangle 2">
          <a:hlinkClick xmlns:r="http://schemas.openxmlformats.org/officeDocument/2006/relationships" r:id="rId2"/>
        </xdr:cNvPr>
        <xdr:cNvSpPr/>
      </xdr:nvSpPr>
      <xdr:spPr bwMode="auto">
        <a:xfrm rot="16200000">
          <a:off x="9987386358" y="157164"/>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66678</xdr:colOff>
      <xdr:row>0</xdr:row>
      <xdr:rowOff>219075</xdr:rowOff>
    </xdr:from>
    <xdr:to>
      <xdr:col>0</xdr:col>
      <xdr:colOff>304803</xdr:colOff>
      <xdr:row>0</xdr:row>
      <xdr:rowOff>523878</xdr:rowOff>
    </xdr:to>
    <xdr:sp macro="" textlink="">
      <xdr:nvSpPr>
        <xdr:cNvPr id="3" name="Isosceles Triangle 2">
          <a:hlinkClick xmlns:r="http://schemas.openxmlformats.org/officeDocument/2006/relationships" r:id="rId1"/>
        </xdr:cNvPr>
        <xdr:cNvSpPr/>
      </xdr:nvSpPr>
      <xdr:spPr bwMode="auto">
        <a:xfrm rot="5400000">
          <a:off x="26808917358" y="252414"/>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0</xdr:col>
      <xdr:colOff>352428</xdr:colOff>
      <xdr:row>0</xdr:row>
      <xdr:rowOff>219075</xdr:rowOff>
    </xdr:from>
    <xdr:to>
      <xdr:col>1</xdr:col>
      <xdr:colOff>57153</xdr:colOff>
      <xdr:row>0</xdr:row>
      <xdr:rowOff>523878</xdr:rowOff>
    </xdr:to>
    <xdr:sp macro="" textlink="">
      <xdr:nvSpPr>
        <xdr:cNvPr id="4" name="Isosceles Triangle 3">
          <a:hlinkClick xmlns:r="http://schemas.openxmlformats.org/officeDocument/2006/relationships" r:id="rId2"/>
        </xdr:cNvPr>
        <xdr:cNvSpPr/>
      </xdr:nvSpPr>
      <xdr:spPr bwMode="auto">
        <a:xfrm rot="16200000">
          <a:off x="26808631608" y="252414"/>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114303</xdr:colOff>
      <xdr:row>0</xdr:row>
      <xdr:rowOff>171450</xdr:rowOff>
    </xdr:from>
    <xdr:to>
      <xdr:col>0</xdr:col>
      <xdr:colOff>352428</xdr:colOff>
      <xdr:row>0</xdr:row>
      <xdr:rowOff>476253</xdr:rowOff>
    </xdr:to>
    <xdr:sp macro="" textlink="">
      <xdr:nvSpPr>
        <xdr:cNvPr id="2" name="Isosceles Triangle 1">
          <a:hlinkClick xmlns:r="http://schemas.openxmlformats.org/officeDocument/2006/relationships" r:id="rId1"/>
        </xdr:cNvPr>
        <xdr:cNvSpPr/>
      </xdr:nvSpPr>
      <xdr:spPr bwMode="auto">
        <a:xfrm rot="5400000">
          <a:off x="9991253508" y="204789"/>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76203</xdr:colOff>
      <xdr:row>0</xdr:row>
      <xdr:rowOff>219075</xdr:rowOff>
    </xdr:from>
    <xdr:to>
      <xdr:col>0</xdr:col>
      <xdr:colOff>314328</xdr:colOff>
      <xdr:row>0</xdr:row>
      <xdr:rowOff>523878</xdr:rowOff>
    </xdr:to>
    <xdr:sp macro="" textlink="">
      <xdr:nvSpPr>
        <xdr:cNvPr id="5" name="Isosceles Triangle 4">
          <a:hlinkClick xmlns:r="http://schemas.openxmlformats.org/officeDocument/2006/relationships" r:id="rId1"/>
        </xdr:cNvPr>
        <xdr:cNvSpPr/>
      </xdr:nvSpPr>
      <xdr:spPr bwMode="auto">
        <a:xfrm rot="5400000">
          <a:off x="8746612233" y="252414"/>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0</xdr:col>
      <xdr:colOff>361953</xdr:colOff>
      <xdr:row>0</xdr:row>
      <xdr:rowOff>219075</xdr:rowOff>
    </xdr:from>
    <xdr:to>
      <xdr:col>0</xdr:col>
      <xdr:colOff>600078</xdr:colOff>
      <xdr:row>0</xdr:row>
      <xdr:rowOff>523878</xdr:rowOff>
    </xdr:to>
    <xdr:sp macro="" textlink="">
      <xdr:nvSpPr>
        <xdr:cNvPr id="6" name="Isosceles Triangle 5">
          <a:hlinkClick xmlns:r="http://schemas.openxmlformats.org/officeDocument/2006/relationships" r:id="rId2"/>
        </xdr:cNvPr>
        <xdr:cNvSpPr/>
      </xdr:nvSpPr>
      <xdr:spPr bwMode="auto">
        <a:xfrm rot="16200000">
          <a:off x="8746326483" y="252414"/>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66678</xdr:colOff>
      <xdr:row>0</xdr:row>
      <xdr:rowOff>180975</xdr:rowOff>
    </xdr:from>
    <xdr:to>
      <xdr:col>0</xdr:col>
      <xdr:colOff>304803</xdr:colOff>
      <xdr:row>0</xdr:row>
      <xdr:rowOff>485778</xdr:rowOff>
    </xdr:to>
    <xdr:sp macro="" textlink="">
      <xdr:nvSpPr>
        <xdr:cNvPr id="3" name="Isosceles Triangle 2">
          <a:hlinkClick xmlns:r="http://schemas.openxmlformats.org/officeDocument/2006/relationships" r:id="rId1"/>
        </xdr:cNvPr>
        <xdr:cNvSpPr/>
      </xdr:nvSpPr>
      <xdr:spPr bwMode="auto">
        <a:xfrm rot="5400000">
          <a:off x="8744135733" y="214314"/>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0</xdr:col>
      <xdr:colOff>352428</xdr:colOff>
      <xdr:row>0</xdr:row>
      <xdr:rowOff>180975</xdr:rowOff>
    </xdr:from>
    <xdr:to>
      <xdr:col>0</xdr:col>
      <xdr:colOff>590553</xdr:colOff>
      <xdr:row>0</xdr:row>
      <xdr:rowOff>485778</xdr:rowOff>
    </xdr:to>
    <xdr:sp macro="" textlink="">
      <xdr:nvSpPr>
        <xdr:cNvPr id="4" name="Isosceles Triangle 3">
          <a:hlinkClick xmlns:r="http://schemas.openxmlformats.org/officeDocument/2006/relationships" r:id="rId2"/>
        </xdr:cNvPr>
        <xdr:cNvSpPr/>
      </xdr:nvSpPr>
      <xdr:spPr bwMode="auto">
        <a:xfrm rot="16200000">
          <a:off x="8743849983" y="214314"/>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7</xdr:col>
      <xdr:colOff>0</xdr:colOff>
      <xdr:row>0</xdr:row>
      <xdr:rowOff>95251</xdr:rowOff>
    </xdr:from>
    <xdr:to>
      <xdr:col>7</xdr:col>
      <xdr:colOff>0</xdr:colOff>
      <xdr:row>1</xdr:row>
      <xdr:rowOff>85728</xdr:rowOff>
    </xdr:to>
    <xdr:sp macro="" textlink="">
      <xdr:nvSpPr>
        <xdr:cNvPr id="2" name="Isosceles Triangle 1">
          <a:hlinkClick xmlns:r="http://schemas.openxmlformats.org/officeDocument/2006/relationships" r:id="rId1"/>
        </xdr:cNvPr>
        <xdr:cNvSpPr/>
      </xdr:nvSpPr>
      <xdr:spPr>
        <a:xfrm rot="5400000">
          <a:off x="23197056411" y="309565"/>
          <a:ext cx="428627" cy="0"/>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5</xdr:col>
      <xdr:colOff>762003</xdr:colOff>
      <xdr:row>0</xdr:row>
      <xdr:rowOff>133350</xdr:rowOff>
    </xdr:from>
    <xdr:to>
      <xdr:col>5</xdr:col>
      <xdr:colOff>1000128</xdr:colOff>
      <xdr:row>1</xdr:row>
      <xdr:rowOff>3</xdr:rowOff>
    </xdr:to>
    <xdr:sp macro="" textlink="">
      <xdr:nvSpPr>
        <xdr:cNvPr id="3" name="Isosceles Triangle 2">
          <a:hlinkClick xmlns:r="http://schemas.openxmlformats.org/officeDocument/2006/relationships" r:id="rId2"/>
        </xdr:cNvPr>
        <xdr:cNvSpPr/>
      </xdr:nvSpPr>
      <xdr:spPr bwMode="auto">
        <a:xfrm rot="5400000">
          <a:off x="23198685183" y="166689"/>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editAs="oneCell">
    <xdr:from>
      <xdr:col>5</xdr:col>
      <xdr:colOff>1019175</xdr:colOff>
      <xdr:row>0</xdr:row>
      <xdr:rowOff>152400</xdr:rowOff>
    </xdr:from>
    <xdr:to>
      <xdr:col>6</xdr:col>
      <xdr:colOff>83854</xdr:colOff>
      <xdr:row>0</xdr:row>
      <xdr:rowOff>409575</xdr:rowOff>
    </xdr:to>
    <xdr:pic>
      <xdr:nvPicPr>
        <xdr:cNvPr id="5" name="Picture 4" descr="23061979.png">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23198406071" y="152400"/>
          <a:ext cx="293404" cy="257175"/>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171453</xdr:colOff>
      <xdr:row>0</xdr:row>
      <xdr:rowOff>95250</xdr:rowOff>
    </xdr:from>
    <xdr:to>
      <xdr:col>0</xdr:col>
      <xdr:colOff>409578</xdr:colOff>
      <xdr:row>0</xdr:row>
      <xdr:rowOff>400053</xdr:rowOff>
    </xdr:to>
    <xdr:sp macro="" textlink="">
      <xdr:nvSpPr>
        <xdr:cNvPr id="2" name="Isosceles Triangle 1">
          <a:hlinkClick xmlns:r="http://schemas.openxmlformats.org/officeDocument/2006/relationships" r:id="rId1"/>
        </xdr:cNvPr>
        <xdr:cNvSpPr/>
      </xdr:nvSpPr>
      <xdr:spPr bwMode="auto">
        <a:xfrm rot="5400000">
          <a:off x="9987643533" y="128589"/>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1</xdr:col>
      <xdr:colOff>19053</xdr:colOff>
      <xdr:row>0</xdr:row>
      <xdr:rowOff>95250</xdr:rowOff>
    </xdr:from>
    <xdr:to>
      <xdr:col>1</xdr:col>
      <xdr:colOff>257178</xdr:colOff>
      <xdr:row>0</xdr:row>
      <xdr:rowOff>400053</xdr:rowOff>
    </xdr:to>
    <xdr:sp macro="" textlink="">
      <xdr:nvSpPr>
        <xdr:cNvPr id="3" name="Isosceles Triangle 2">
          <a:hlinkClick xmlns:r="http://schemas.openxmlformats.org/officeDocument/2006/relationships" r:id="rId2"/>
        </xdr:cNvPr>
        <xdr:cNvSpPr/>
      </xdr:nvSpPr>
      <xdr:spPr bwMode="auto">
        <a:xfrm rot="16200000">
          <a:off x="9987357783" y="128589"/>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85728</xdr:colOff>
      <xdr:row>0</xdr:row>
      <xdr:rowOff>219075</xdr:rowOff>
    </xdr:from>
    <xdr:to>
      <xdr:col>0</xdr:col>
      <xdr:colOff>323853</xdr:colOff>
      <xdr:row>0</xdr:row>
      <xdr:rowOff>523878</xdr:rowOff>
    </xdr:to>
    <xdr:sp macro="" textlink="">
      <xdr:nvSpPr>
        <xdr:cNvPr id="3" name="Isosceles Triangle 2">
          <a:hlinkClick xmlns:r="http://schemas.openxmlformats.org/officeDocument/2006/relationships" r:id="rId1"/>
        </xdr:cNvPr>
        <xdr:cNvSpPr/>
      </xdr:nvSpPr>
      <xdr:spPr bwMode="auto">
        <a:xfrm rot="5400000">
          <a:off x="26808898308" y="252414"/>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0</xdr:col>
      <xdr:colOff>371478</xdr:colOff>
      <xdr:row>0</xdr:row>
      <xdr:rowOff>219075</xdr:rowOff>
    </xdr:from>
    <xdr:to>
      <xdr:col>1</xdr:col>
      <xdr:colOff>76203</xdr:colOff>
      <xdr:row>0</xdr:row>
      <xdr:rowOff>523878</xdr:rowOff>
    </xdr:to>
    <xdr:sp macro="" textlink="">
      <xdr:nvSpPr>
        <xdr:cNvPr id="4" name="Isosceles Triangle 3">
          <a:hlinkClick xmlns:r="http://schemas.openxmlformats.org/officeDocument/2006/relationships" r:id="rId2"/>
        </xdr:cNvPr>
        <xdr:cNvSpPr/>
      </xdr:nvSpPr>
      <xdr:spPr bwMode="auto">
        <a:xfrm rot="16200000">
          <a:off x="26808612558" y="252414"/>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47628</xdr:colOff>
      <xdr:row>0</xdr:row>
      <xdr:rowOff>209550</xdr:rowOff>
    </xdr:from>
    <xdr:to>
      <xdr:col>0</xdr:col>
      <xdr:colOff>285753</xdr:colOff>
      <xdr:row>0</xdr:row>
      <xdr:rowOff>514353</xdr:rowOff>
    </xdr:to>
    <xdr:sp macro="" textlink="">
      <xdr:nvSpPr>
        <xdr:cNvPr id="3" name="Isosceles Triangle 2">
          <a:hlinkClick xmlns:r="http://schemas.openxmlformats.org/officeDocument/2006/relationships" r:id="rId1"/>
        </xdr:cNvPr>
        <xdr:cNvSpPr/>
      </xdr:nvSpPr>
      <xdr:spPr bwMode="auto">
        <a:xfrm rot="5400000">
          <a:off x="8746640808" y="242889"/>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0</xdr:col>
      <xdr:colOff>333378</xdr:colOff>
      <xdr:row>0</xdr:row>
      <xdr:rowOff>209550</xdr:rowOff>
    </xdr:from>
    <xdr:to>
      <xdr:col>0</xdr:col>
      <xdr:colOff>571503</xdr:colOff>
      <xdr:row>0</xdr:row>
      <xdr:rowOff>514353</xdr:rowOff>
    </xdr:to>
    <xdr:sp macro="" textlink="">
      <xdr:nvSpPr>
        <xdr:cNvPr id="4" name="Isosceles Triangle 3">
          <a:hlinkClick xmlns:r="http://schemas.openxmlformats.org/officeDocument/2006/relationships" r:id="rId2"/>
        </xdr:cNvPr>
        <xdr:cNvSpPr/>
      </xdr:nvSpPr>
      <xdr:spPr bwMode="auto">
        <a:xfrm rot="16200000">
          <a:off x="8746355058" y="242889"/>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9528</xdr:colOff>
      <xdr:row>0</xdr:row>
      <xdr:rowOff>142875</xdr:rowOff>
    </xdr:from>
    <xdr:to>
      <xdr:col>0</xdr:col>
      <xdr:colOff>247653</xdr:colOff>
      <xdr:row>0</xdr:row>
      <xdr:rowOff>447678</xdr:rowOff>
    </xdr:to>
    <xdr:sp macro="" textlink="">
      <xdr:nvSpPr>
        <xdr:cNvPr id="3" name="Isosceles Triangle 2">
          <a:hlinkClick xmlns:r="http://schemas.openxmlformats.org/officeDocument/2006/relationships" r:id="rId1"/>
        </xdr:cNvPr>
        <xdr:cNvSpPr/>
      </xdr:nvSpPr>
      <xdr:spPr bwMode="auto">
        <a:xfrm rot="5400000">
          <a:off x="8744192883" y="176214"/>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0</xdr:col>
      <xdr:colOff>295278</xdr:colOff>
      <xdr:row>0</xdr:row>
      <xdr:rowOff>142875</xdr:rowOff>
    </xdr:from>
    <xdr:to>
      <xdr:col>0</xdr:col>
      <xdr:colOff>533403</xdr:colOff>
      <xdr:row>0</xdr:row>
      <xdr:rowOff>447678</xdr:rowOff>
    </xdr:to>
    <xdr:sp macro="" textlink="">
      <xdr:nvSpPr>
        <xdr:cNvPr id="4" name="Isosceles Triangle 3">
          <a:hlinkClick xmlns:r="http://schemas.openxmlformats.org/officeDocument/2006/relationships" r:id="rId2"/>
        </xdr:cNvPr>
        <xdr:cNvSpPr/>
      </xdr:nvSpPr>
      <xdr:spPr bwMode="auto">
        <a:xfrm rot="16200000">
          <a:off x="8743907133" y="176214"/>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7</xdr:col>
      <xdr:colOff>0</xdr:colOff>
      <xdr:row>0</xdr:row>
      <xdr:rowOff>95251</xdr:rowOff>
    </xdr:from>
    <xdr:to>
      <xdr:col>7</xdr:col>
      <xdr:colOff>0</xdr:colOff>
      <xdr:row>1</xdr:row>
      <xdr:rowOff>85728</xdr:rowOff>
    </xdr:to>
    <xdr:sp macro="" textlink="">
      <xdr:nvSpPr>
        <xdr:cNvPr id="2" name="Isosceles Triangle 1">
          <a:hlinkClick xmlns:r="http://schemas.openxmlformats.org/officeDocument/2006/relationships" r:id="rId1"/>
        </xdr:cNvPr>
        <xdr:cNvSpPr/>
      </xdr:nvSpPr>
      <xdr:spPr>
        <a:xfrm rot="5400000">
          <a:off x="23397762449" y="247652"/>
          <a:ext cx="304802" cy="0"/>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5</xdr:col>
      <xdr:colOff>1009653</xdr:colOff>
      <xdr:row>0</xdr:row>
      <xdr:rowOff>85725</xdr:rowOff>
    </xdr:from>
    <xdr:to>
      <xdr:col>5</xdr:col>
      <xdr:colOff>1247778</xdr:colOff>
      <xdr:row>1</xdr:row>
      <xdr:rowOff>76203</xdr:rowOff>
    </xdr:to>
    <xdr:sp macro="" textlink="">
      <xdr:nvSpPr>
        <xdr:cNvPr id="3" name="Isosceles Triangle 2">
          <a:hlinkClick xmlns:r="http://schemas.openxmlformats.org/officeDocument/2006/relationships" r:id="rId2"/>
        </xdr:cNvPr>
        <xdr:cNvSpPr/>
      </xdr:nvSpPr>
      <xdr:spPr bwMode="auto">
        <a:xfrm rot="5400000">
          <a:off x="23399395983" y="119064"/>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editAs="oneCell">
    <xdr:from>
      <xdr:col>5</xdr:col>
      <xdr:colOff>1314450</xdr:colOff>
      <xdr:row>0</xdr:row>
      <xdr:rowOff>104775</xdr:rowOff>
    </xdr:from>
    <xdr:to>
      <xdr:col>6</xdr:col>
      <xdr:colOff>226729</xdr:colOff>
      <xdr:row>1</xdr:row>
      <xdr:rowOff>47625</xdr:rowOff>
    </xdr:to>
    <xdr:pic>
      <xdr:nvPicPr>
        <xdr:cNvPr id="4" name="Picture 3" descr="23061979.png">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23399069246" y="104775"/>
          <a:ext cx="293404" cy="257175"/>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xdr:from>
      <xdr:col>0</xdr:col>
      <xdr:colOff>161928</xdr:colOff>
      <xdr:row>0</xdr:row>
      <xdr:rowOff>114300</xdr:rowOff>
    </xdr:from>
    <xdr:to>
      <xdr:col>0</xdr:col>
      <xdr:colOff>400053</xdr:colOff>
      <xdr:row>0</xdr:row>
      <xdr:rowOff>419103</xdr:rowOff>
    </xdr:to>
    <xdr:sp macro="" textlink="">
      <xdr:nvSpPr>
        <xdr:cNvPr id="2" name="Isosceles Triangle 1">
          <a:hlinkClick xmlns:r="http://schemas.openxmlformats.org/officeDocument/2006/relationships" r:id="rId1"/>
        </xdr:cNvPr>
        <xdr:cNvSpPr/>
      </xdr:nvSpPr>
      <xdr:spPr bwMode="auto">
        <a:xfrm rot="5400000">
          <a:off x="9987653058" y="147639"/>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1</xdr:col>
      <xdr:colOff>9528</xdr:colOff>
      <xdr:row>0</xdr:row>
      <xdr:rowOff>114300</xdr:rowOff>
    </xdr:from>
    <xdr:to>
      <xdr:col>1</xdr:col>
      <xdr:colOff>247653</xdr:colOff>
      <xdr:row>0</xdr:row>
      <xdr:rowOff>419103</xdr:rowOff>
    </xdr:to>
    <xdr:sp macro="" textlink="">
      <xdr:nvSpPr>
        <xdr:cNvPr id="3" name="Isosceles Triangle 2">
          <a:hlinkClick xmlns:r="http://schemas.openxmlformats.org/officeDocument/2006/relationships" r:id="rId2"/>
        </xdr:cNvPr>
        <xdr:cNvSpPr/>
      </xdr:nvSpPr>
      <xdr:spPr bwMode="auto">
        <a:xfrm rot="16200000">
          <a:off x="9987367308" y="147639"/>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95253</xdr:colOff>
      <xdr:row>0</xdr:row>
      <xdr:rowOff>209550</xdr:rowOff>
    </xdr:from>
    <xdr:to>
      <xdr:col>0</xdr:col>
      <xdr:colOff>333378</xdr:colOff>
      <xdr:row>0</xdr:row>
      <xdr:rowOff>514353</xdr:rowOff>
    </xdr:to>
    <xdr:sp macro="" textlink="">
      <xdr:nvSpPr>
        <xdr:cNvPr id="3" name="Isosceles Triangle 2">
          <a:hlinkClick xmlns:r="http://schemas.openxmlformats.org/officeDocument/2006/relationships" r:id="rId1"/>
        </xdr:cNvPr>
        <xdr:cNvSpPr/>
      </xdr:nvSpPr>
      <xdr:spPr bwMode="auto">
        <a:xfrm rot="5400000">
          <a:off x="26809231683" y="242889"/>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0</xdr:col>
      <xdr:colOff>390528</xdr:colOff>
      <xdr:row>0</xdr:row>
      <xdr:rowOff>209550</xdr:rowOff>
    </xdr:from>
    <xdr:to>
      <xdr:col>1</xdr:col>
      <xdr:colOff>95253</xdr:colOff>
      <xdr:row>0</xdr:row>
      <xdr:rowOff>514353</xdr:rowOff>
    </xdr:to>
    <xdr:sp macro="" textlink="">
      <xdr:nvSpPr>
        <xdr:cNvPr id="4" name="Isosceles Triangle 3">
          <a:hlinkClick xmlns:r="http://schemas.openxmlformats.org/officeDocument/2006/relationships" r:id="rId2"/>
        </xdr:cNvPr>
        <xdr:cNvSpPr/>
      </xdr:nvSpPr>
      <xdr:spPr bwMode="auto">
        <a:xfrm rot="16200000">
          <a:off x="26808936408" y="242889"/>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76203</xdr:colOff>
      <xdr:row>0</xdr:row>
      <xdr:rowOff>152400</xdr:rowOff>
    </xdr:from>
    <xdr:to>
      <xdr:col>0</xdr:col>
      <xdr:colOff>314328</xdr:colOff>
      <xdr:row>0</xdr:row>
      <xdr:rowOff>457203</xdr:rowOff>
    </xdr:to>
    <xdr:sp macro="" textlink="">
      <xdr:nvSpPr>
        <xdr:cNvPr id="2" name="Isosceles Triangle 1">
          <a:hlinkClick xmlns:r="http://schemas.openxmlformats.org/officeDocument/2006/relationships" r:id="rId1"/>
        </xdr:cNvPr>
        <xdr:cNvSpPr/>
      </xdr:nvSpPr>
      <xdr:spPr bwMode="auto">
        <a:xfrm rot="5400000">
          <a:off x="9991291608" y="185739"/>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95253</xdr:colOff>
      <xdr:row>0</xdr:row>
      <xdr:rowOff>219075</xdr:rowOff>
    </xdr:from>
    <xdr:to>
      <xdr:col>0</xdr:col>
      <xdr:colOff>333378</xdr:colOff>
      <xdr:row>0</xdr:row>
      <xdr:rowOff>523878</xdr:rowOff>
    </xdr:to>
    <xdr:sp macro="" textlink="">
      <xdr:nvSpPr>
        <xdr:cNvPr id="3" name="Isosceles Triangle 2">
          <a:hlinkClick xmlns:r="http://schemas.openxmlformats.org/officeDocument/2006/relationships" r:id="rId1"/>
        </xdr:cNvPr>
        <xdr:cNvSpPr/>
      </xdr:nvSpPr>
      <xdr:spPr bwMode="auto">
        <a:xfrm rot="5400000">
          <a:off x="8746593183" y="252414"/>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0</xdr:col>
      <xdr:colOff>381003</xdr:colOff>
      <xdr:row>0</xdr:row>
      <xdr:rowOff>219075</xdr:rowOff>
    </xdr:from>
    <xdr:to>
      <xdr:col>0</xdr:col>
      <xdr:colOff>619128</xdr:colOff>
      <xdr:row>0</xdr:row>
      <xdr:rowOff>523878</xdr:rowOff>
    </xdr:to>
    <xdr:sp macro="" textlink="">
      <xdr:nvSpPr>
        <xdr:cNvPr id="4" name="Isosceles Triangle 3">
          <a:hlinkClick xmlns:r="http://schemas.openxmlformats.org/officeDocument/2006/relationships" r:id="rId2"/>
        </xdr:cNvPr>
        <xdr:cNvSpPr/>
      </xdr:nvSpPr>
      <xdr:spPr bwMode="auto">
        <a:xfrm rot="16200000">
          <a:off x="8746307433" y="252414"/>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76201</xdr:colOff>
      <xdr:row>0</xdr:row>
      <xdr:rowOff>190500</xdr:rowOff>
    </xdr:from>
    <xdr:to>
      <xdr:col>0</xdr:col>
      <xdr:colOff>314325</xdr:colOff>
      <xdr:row>0</xdr:row>
      <xdr:rowOff>495303</xdr:rowOff>
    </xdr:to>
    <xdr:sp macro="" textlink="">
      <xdr:nvSpPr>
        <xdr:cNvPr id="3" name="Isosceles Triangle 2">
          <a:hlinkClick xmlns:r="http://schemas.openxmlformats.org/officeDocument/2006/relationships" r:id="rId1"/>
        </xdr:cNvPr>
        <xdr:cNvSpPr/>
      </xdr:nvSpPr>
      <xdr:spPr bwMode="auto">
        <a:xfrm rot="5400000">
          <a:off x="8744126210" y="223840"/>
          <a:ext cx="304803" cy="238124"/>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0</xdr:col>
      <xdr:colOff>361950</xdr:colOff>
      <xdr:row>0</xdr:row>
      <xdr:rowOff>190500</xdr:rowOff>
    </xdr:from>
    <xdr:to>
      <xdr:col>0</xdr:col>
      <xdr:colOff>600075</xdr:colOff>
      <xdr:row>0</xdr:row>
      <xdr:rowOff>495303</xdr:rowOff>
    </xdr:to>
    <xdr:sp macro="" textlink="">
      <xdr:nvSpPr>
        <xdr:cNvPr id="4" name="Isosceles Triangle 3">
          <a:hlinkClick xmlns:r="http://schemas.openxmlformats.org/officeDocument/2006/relationships" r:id="rId2"/>
        </xdr:cNvPr>
        <xdr:cNvSpPr/>
      </xdr:nvSpPr>
      <xdr:spPr bwMode="auto">
        <a:xfrm rot="16200000">
          <a:off x="8743840461" y="223839"/>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7</xdr:col>
      <xdr:colOff>0</xdr:colOff>
      <xdr:row>0</xdr:row>
      <xdr:rowOff>95251</xdr:rowOff>
    </xdr:from>
    <xdr:to>
      <xdr:col>7</xdr:col>
      <xdr:colOff>0</xdr:colOff>
      <xdr:row>1</xdr:row>
      <xdr:rowOff>85728</xdr:rowOff>
    </xdr:to>
    <xdr:sp macro="" textlink="">
      <xdr:nvSpPr>
        <xdr:cNvPr id="2" name="Isosceles Triangle 1">
          <a:hlinkClick xmlns:r="http://schemas.openxmlformats.org/officeDocument/2006/relationships" r:id="rId1"/>
        </xdr:cNvPr>
        <xdr:cNvSpPr/>
      </xdr:nvSpPr>
      <xdr:spPr>
        <a:xfrm rot="5400000">
          <a:off x="23397719586" y="300040"/>
          <a:ext cx="409577" cy="0"/>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5</xdr:col>
      <xdr:colOff>581028</xdr:colOff>
      <xdr:row>0</xdr:row>
      <xdr:rowOff>161925</xdr:rowOff>
    </xdr:from>
    <xdr:to>
      <xdr:col>5</xdr:col>
      <xdr:colOff>819153</xdr:colOff>
      <xdr:row>1</xdr:row>
      <xdr:rowOff>47628</xdr:rowOff>
    </xdr:to>
    <xdr:sp macro="" textlink="">
      <xdr:nvSpPr>
        <xdr:cNvPr id="3" name="Isosceles Triangle 2">
          <a:hlinkClick xmlns:r="http://schemas.openxmlformats.org/officeDocument/2006/relationships" r:id="rId2"/>
        </xdr:cNvPr>
        <xdr:cNvSpPr/>
      </xdr:nvSpPr>
      <xdr:spPr bwMode="auto">
        <a:xfrm rot="5400000">
          <a:off x="23399738883" y="195264"/>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editAs="oneCell">
    <xdr:from>
      <xdr:col>5</xdr:col>
      <xdr:colOff>838200</xdr:colOff>
      <xdr:row>0</xdr:row>
      <xdr:rowOff>190500</xdr:rowOff>
    </xdr:from>
    <xdr:to>
      <xdr:col>5</xdr:col>
      <xdr:colOff>1131604</xdr:colOff>
      <xdr:row>1</xdr:row>
      <xdr:rowOff>28575</xdr:rowOff>
    </xdr:to>
    <xdr:pic>
      <xdr:nvPicPr>
        <xdr:cNvPr id="4" name="Picture 3" descr="23061979.png">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23399459771" y="190500"/>
          <a:ext cx="293404" cy="257175"/>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104778</xdr:colOff>
      <xdr:row>0</xdr:row>
      <xdr:rowOff>171450</xdr:rowOff>
    </xdr:from>
    <xdr:to>
      <xdr:col>0</xdr:col>
      <xdr:colOff>342903</xdr:colOff>
      <xdr:row>0</xdr:row>
      <xdr:rowOff>476253</xdr:rowOff>
    </xdr:to>
    <xdr:sp macro="" textlink="">
      <xdr:nvSpPr>
        <xdr:cNvPr id="2" name="Isosceles Triangle 1">
          <a:hlinkClick xmlns:r="http://schemas.openxmlformats.org/officeDocument/2006/relationships" r:id="rId1"/>
        </xdr:cNvPr>
        <xdr:cNvSpPr/>
      </xdr:nvSpPr>
      <xdr:spPr bwMode="auto">
        <a:xfrm rot="5400000">
          <a:off x="9987710208" y="204789"/>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0</xdr:col>
      <xdr:colOff>381003</xdr:colOff>
      <xdr:row>0</xdr:row>
      <xdr:rowOff>171450</xdr:rowOff>
    </xdr:from>
    <xdr:to>
      <xdr:col>1</xdr:col>
      <xdr:colOff>180978</xdr:colOff>
      <xdr:row>0</xdr:row>
      <xdr:rowOff>476253</xdr:rowOff>
    </xdr:to>
    <xdr:sp macro="" textlink="">
      <xdr:nvSpPr>
        <xdr:cNvPr id="3" name="Isosceles Triangle 2">
          <a:hlinkClick xmlns:r="http://schemas.openxmlformats.org/officeDocument/2006/relationships" r:id="rId2"/>
        </xdr:cNvPr>
        <xdr:cNvSpPr/>
      </xdr:nvSpPr>
      <xdr:spPr bwMode="auto">
        <a:xfrm rot="16200000">
          <a:off x="9987433983" y="204789"/>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85728</xdr:colOff>
      <xdr:row>0</xdr:row>
      <xdr:rowOff>38100</xdr:rowOff>
    </xdr:from>
    <xdr:to>
      <xdr:col>0</xdr:col>
      <xdr:colOff>323853</xdr:colOff>
      <xdr:row>0</xdr:row>
      <xdr:rowOff>342903</xdr:rowOff>
    </xdr:to>
    <xdr:sp macro="" textlink="">
      <xdr:nvSpPr>
        <xdr:cNvPr id="4" name="Isosceles Triangle 3">
          <a:hlinkClick xmlns:r="http://schemas.openxmlformats.org/officeDocument/2006/relationships" r:id="rId1"/>
        </xdr:cNvPr>
        <xdr:cNvSpPr/>
      </xdr:nvSpPr>
      <xdr:spPr bwMode="auto">
        <a:xfrm rot="5400000">
          <a:off x="8735372733" y="71439"/>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0</xdr:col>
      <xdr:colOff>361953</xdr:colOff>
      <xdr:row>0</xdr:row>
      <xdr:rowOff>38100</xdr:rowOff>
    </xdr:from>
    <xdr:to>
      <xdr:col>1</xdr:col>
      <xdr:colOff>66678</xdr:colOff>
      <xdr:row>0</xdr:row>
      <xdr:rowOff>342903</xdr:rowOff>
    </xdr:to>
    <xdr:sp macro="" textlink="">
      <xdr:nvSpPr>
        <xdr:cNvPr id="5" name="Isosceles Triangle 4">
          <a:hlinkClick xmlns:r="http://schemas.openxmlformats.org/officeDocument/2006/relationships" r:id="rId2"/>
        </xdr:cNvPr>
        <xdr:cNvSpPr/>
      </xdr:nvSpPr>
      <xdr:spPr bwMode="auto">
        <a:xfrm rot="16200000">
          <a:off x="8735096508" y="71439"/>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95253</xdr:colOff>
      <xdr:row>0</xdr:row>
      <xdr:rowOff>219075</xdr:rowOff>
    </xdr:from>
    <xdr:to>
      <xdr:col>0</xdr:col>
      <xdr:colOff>333378</xdr:colOff>
      <xdr:row>0</xdr:row>
      <xdr:rowOff>523878</xdr:rowOff>
    </xdr:to>
    <xdr:sp macro="" textlink="">
      <xdr:nvSpPr>
        <xdr:cNvPr id="5" name="Isosceles Triangle 4">
          <a:hlinkClick xmlns:r="http://schemas.openxmlformats.org/officeDocument/2006/relationships" r:id="rId1"/>
        </xdr:cNvPr>
        <xdr:cNvSpPr/>
      </xdr:nvSpPr>
      <xdr:spPr bwMode="auto">
        <a:xfrm rot="5400000">
          <a:off x="8746593183" y="252414"/>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0</xdr:col>
      <xdr:colOff>371478</xdr:colOff>
      <xdr:row>0</xdr:row>
      <xdr:rowOff>219075</xdr:rowOff>
    </xdr:from>
    <xdr:to>
      <xdr:col>0</xdr:col>
      <xdr:colOff>609603</xdr:colOff>
      <xdr:row>0</xdr:row>
      <xdr:rowOff>523878</xdr:rowOff>
    </xdr:to>
    <xdr:sp macro="" textlink="">
      <xdr:nvSpPr>
        <xdr:cNvPr id="6" name="Isosceles Triangle 5">
          <a:hlinkClick xmlns:r="http://schemas.openxmlformats.org/officeDocument/2006/relationships" r:id="rId2"/>
        </xdr:cNvPr>
        <xdr:cNvSpPr/>
      </xdr:nvSpPr>
      <xdr:spPr bwMode="auto">
        <a:xfrm rot="16200000">
          <a:off x="8746316958" y="252414"/>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7</xdr:col>
      <xdr:colOff>0</xdr:colOff>
      <xdr:row>0</xdr:row>
      <xdr:rowOff>95251</xdr:rowOff>
    </xdr:from>
    <xdr:to>
      <xdr:col>7</xdr:col>
      <xdr:colOff>0</xdr:colOff>
      <xdr:row>1</xdr:row>
      <xdr:rowOff>85728</xdr:rowOff>
    </xdr:to>
    <xdr:sp macro="" textlink="">
      <xdr:nvSpPr>
        <xdr:cNvPr id="2" name="Isosceles Triangle 1">
          <a:hlinkClick xmlns:r="http://schemas.openxmlformats.org/officeDocument/2006/relationships" r:id="rId1"/>
        </xdr:cNvPr>
        <xdr:cNvSpPr/>
      </xdr:nvSpPr>
      <xdr:spPr>
        <a:xfrm rot="5400000">
          <a:off x="9983338236" y="280990"/>
          <a:ext cx="371477" cy="0"/>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en-US"/>
        </a:p>
      </xdr:txBody>
    </xdr:sp>
    <xdr:clientData/>
  </xdr:twoCellAnchor>
  <xdr:twoCellAnchor>
    <xdr:from>
      <xdr:col>6</xdr:col>
      <xdr:colOff>571503</xdr:colOff>
      <xdr:row>0</xdr:row>
      <xdr:rowOff>57150</xdr:rowOff>
    </xdr:from>
    <xdr:to>
      <xdr:col>6</xdr:col>
      <xdr:colOff>809628</xdr:colOff>
      <xdr:row>0</xdr:row>
      <xdr:rowOff>361953</xdr:rowOff>
    </xdr:to>
    <xdr:sp macro="" textlink="">
      <xdr:nvSpPr>
        <xdr:cNvPr id="3" name="Isosceles Triangle 2">
          <a:hlinkClick xmlns:r="http://schemas.openxmlformats.org/officeDocument/2006/relationships" r:id="rId2"/>
        </xdr:cNvPr>
        <xdr:cNvSpPr/>
      </xdr:nvSpPr>
      <xdr:spPr bwMode="auto">
        <a:xfrm rot="5400000">
          <a:off x="8736696708" y="90489"/>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editAs="oneCell">
    <xdr:from>
      <xdr:col>6</xdr:col>
      <xdr:colOff>866775</xdr:colOff>
      <xdr:row>0</xdr:row>
      <xdr:rowOff>95250</xdr:rowOff>
    </xdr:from>
    <xdr:to>
      <xdr:col>6</xdr:col>
      <xdr:colOff>1160179</xdr:colOff>
      <xdr:row>0</xdr:row>
      <xdr:rowOff>352425</xdr:rowOff>
    </xdr:to>
    <xdr:pic>
      <xdr:nvPicPr>
        <xdr:cNvPr id="5" name="Picture 4" descr="23061979.png">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8736379496" y="95250"/>
          <a:ext cx="293404" cy="257175"/>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xdr:from>
      <xdr:col>0</xdr:col>
      <xdr:colOff>190503</xdr:colOff>
      <xdr:row>0</xdr:row>
      <xdr:rowOff>247650</xdr:rowOff>
    </xdr:from>
    <xdr:to>
      <xdr:col>0</xdr:col>
      <xdr:colOff>428628</xdr:colOff>
      <xdr:row>0</xdr:row>
      <xdr:rowOff>552453</xdr:rowOff>
    </xdr:to>
    <xdr:sp macro="" textlink="">
      <xdr:nvSpPr>
        <xdr:cNvPr id="2" name="Isosceles Triangle 1">
          <a:hlinkClick xmlns:r="http://schemas.openxmlformats.org/officeDocument/2006/relationships" r:id="rId1"/>
        </xdr:cNvPr>
        <xdr:cNvSpPr/>
      </xdr:nvSpPr>
      <xdr:spPr bwMode="auto">
        <a:xfrm rot="5400000">
          <a:off x="9987624483" y="280989"/>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1</xdr:col>
      <xdr:colOff>38103</xdr:colOff>
      <xdr:row>0</xdr:row>
      <xdr:rowOff>247650</xdr:rowOff>
    </xdr:from>
    <xdr:to>
      <xdr:col>1</xdr:col>
      <xdr:colOff>276228</xdr:colOff>
      <xdr:row>0</xdr:row>
      <xdr:rowOff>552453</xdr:rowOff>
    </xdr:to>
    <xdr:sp macro="" textlink="">
      <xdr:nvSpPr>
        <xdr:cNvPr id="3" name="Isosceles Triangle 2">
          <a:hlinkClick xmlns:r="http://schemas.openxmlformats.org/officeDocument/2006/relationships" r:id="rId2"/>
        </xdr:cNvPr>
        <xdr:cNvSpPr/>
      </xdr:nvSpPr>
      <xdr:spPr bwMode="auto">
        <a:xfrm rot="16200000">
          <a:off x="9987338733" y="280989"/>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66678</xdr:colOff>
      <xdr:row>0</xdr:row>
      <xdr:rowOff>133350</xdr:rowOff>
    </xdr:from>
    <xdr:to>
      <xdr:col>0</xdr:col>
      <xdr:colOff>304803</xdr:colOff>
      <xdr:row>0</xdr:row>
      <xdr:rowOff>438153</xdr:rowOff>
    </xdr:to>
    <xdr:sp macro="" textlink="">
      <xdr:nvSpPr>
        <xdr:cNvPr id="3" name="Isosceles Triangle 2">
          <a:hlinkClick xmlns:r="http://schemas.openxmlformats.org/officeDocument/2006/relationships" r:id="rId1"/>
        </xdr:cNvPr>
        <xdr:cNvSpPr/>
      </xdr:nvSpPr>
      <xdr:spPr bwMode="auto">
        <a:xfrm rot="5400000">
          <a:off x="26809336458" y="166689"/>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0</xdr:col>
      <xdr:colOff>352428</xdr:colOff>
      <xdr:row>0</xdr:row>
      <xdr:rowOff>133350</xdr:rowOff>
    </xdr:from>
    <xdr:to>
      <xdr:col>1</xdr:col>
      <xdr:colOff>57153</xdr:colOff>
      <xdr:row>0</xdr:row>
      <xdr:rowOff>438153</xdr:rowOff>
    </xdr:to>
    <xdr:sp macro="" textlink="">
      <xdr:nvSpPr>
        <xdr:cNvPr id="4" name="Isosceles Triangle 3">
          <a:hlinkClick xmlns:r="http://schemas.openxmlformats.org/officeDocument/2006/relationships" r:id="rId2"/>
        </xdr:cNvPr>
        <xdr:cNvSpPr/>
      </xdr:nvSpPr>
      <xdr:spPr bwMode="auto">
        <a:xfrm rot="16200000">
          <a:off x="26809050708" y="166689"/>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85728</xdr:colOff>
      <xdr:row>0</xdr:row>
      <xdr:rowOff>161925</xdr:rowOff>
    </xdr:from>
    <xdr:to>
      <xdr:col>0</xdr:col>
      <xdr:colOff>323853</xdr:colOff>
      <xdr:row>0</xdr:row>
      <xdr:rowOff>466728</xdr:rowOff>
    </xdr:to>
    <xdr:sp macro="" textlink="">
      <xdr:nvSpPr>
        <xdr:cNvPr id="5" name="Isosceles Triangle 4">
          <a:hlinkClick xmlns:r="http://schemas.openxmlformats.org/officeDocument/2006/relationships" r:id="rId1"/>
        </xdr:cNvPr>
        <xdr:cNvSpPr/>
      </xdr:nvSpPr>
      <xdr:spPr bwMode="auto">
        <a:xfrm rot="5400000">
          <a:off x="8746602708" y="195264"/>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0</xdr:col>
      <xdr:colOff>371478</xdr:colOff>
      <xdr:row>0</xdr:row>
      <xdr:rowOff>161925</xdr:rowOff>
    </xdr:from>
    <xdr:to>
      <xdr:col>0</xdr:col>
      <xdr:colOff>609603</xdr:colOff>
      <xdr:row>0</xdr:row>
      <xdr:rowOff>466728</xdr:rowOff>
    </xdr:to>
    <xdr:sp macro="" textlink="">
      <xdr:nvSpPr>
        <xdr:cNvPr id="6" name="Isosceles Triangle 5">
          <a:hlinkClick xmlns:r="http://schemas.openxmlformats.org/officeDocument/2006/relationships" r:id="rId2"/>
        </xdr:cNvPr>
        <xdr:cNvSpPr/>
      </xdr:nvSpPr>
      <xdr:spPr bwMode="auto">
        <a:xfrm rot="16200000">
          <a:off x="8746316958" y="195264"/>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85728</xdr:colOff>
      <xdr:row>0</xdr:row>
      <xdr:rowOff>152400</xdr:rowOff>
    </xdr:from>
    <xdr:to>
      <xdr:col>0</xdr:col>
      <xdr:colOff>323853</xdr:colOff>
      <xdr:row>0</xdr:row>
      <xdr:rowOff>457203</xdr:rowOff>
    </xdr:to>
    <xdr:sp macro="" textlink="">
      <xdr:nvSpPr>
        <xdr:cNvPr id="2" name="Isosceles Triangle 1">
          <a:hlinkClick xmlns:r="http://schemas.openxmlformats.org/officeDocument/2006/relationships" r:id="rId1"/>
        </xdr:cNvPr>
        <xdr:cNvSpPr/>
      </xdr:nvSpPr>
      <xdr:spPr bwMode="auto">
        <a:xfrm rot="5400000">
          <a:off x="9991282083" y="185739"/>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7</xdr:col>
      <xdr:colOff>0</xdr:colOff>
      <xdr:row>0</xdr:row>
      <xdr:rowOff>95251</xdr:rowOff>
    </xdr:from>
    <xdr:to>
      <xdr:col>7</xdr:col>
      <xdr:colOff>0</xdr:colOff>
      <xdr:row>1</xdr:row>
      <xdr:rowOff>85728</xdr:rowOff>
    </xdr:to>
    <xdr:sp macro="" textlink="">
      <xdr:nvSpPr>
        <xdr:cNvPr id="2" name="Isosceles Triangle 1">
          <a:hlinkClick xmlns:r="http://schemas.openxmlformats.org/officeDocument/2006/relationships" r:id="rId1"/>
        </xdr:cNvPr>
        <xdr:cNvSpPr/>
      </xdr:nvSpPr>
      <xdr:spPr>
        <a:xfrm rot="5400000">
          <a:off x="23397771974" y="247652"/>
          <a:ext cx="304802" cy="0"/>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6</xdr:col>
      <xdr:colOff>104778</xdr:colOff>
      <xdr:row>0</xdr:row>
      <xdr:rowOff>142875</xdr:rowOff>
    </xdr:from>
    <xdr:to>
      <xdr:col>6</xdr:col>
      <xdr:colOff>342903</xdr:colOff>
      <xdr:row>1</xdr:row>
      <xdr:rowOff>133353</xdr:rowOff>
    </xdr:to>
    <xdr:sp macro="" textlink="">
      <xdr:nvSpPr>
        <xdr:cNvPr id="3" name="Isosceles Triangle 2">
          <a:hlinkClick xmlns:r="http://schemas.openxmlformats.org/officeDocument/2006/relationships" r:id="rId2"/>
        </xdr:cNvPr>
        <xdr:cNvSpPr/>
      </xdr:nvSpPr>
      <xdr:spPr bwMode="auto">
        <a:xfrm rot="5400000">
          <a:off x="23398900683" y="176214"/>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editAs="oneCell">
    <xdr:from>
      <xdr:col>6</xdr:col>
      <xdr:colOff>381000</xdr:colOff>
      <xdr:row>0</xdr:row>
      <xdr:rowOff>171450</xdr:rowOff>
    </xdr:from>
    <xdr:to>
      <xdr:col>6</xdr:col>
      <xdr:colOff>674404</xdr:colOff>
      <xdr:row>1</xdr:row>
      <xdr:rowOff>114300</xdr:rowOff>
    </xdr:to>
    <xdr:pic>
      <xdr:nvPicPr>
        <xdr:cNvPr id="5" name="Picture 4" descr="23061979.png">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23398602521" y="171450"/>
          <a:ext cx="293404" cy="257175"/>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xdr:from>
      <xdr:col>0</xdr:col>
      <xdr:colOff>95253</xdr:colOff>
      <xdr:row>0</xdr:row>
      <xdr:rowOff>76200</xdr:rowOff>
    </xdr:from>
    <xdr:to>
      <xdr:col>0</xdr:col>
      <xdr:colOff>333378</xdr:colOff>
      <xdr:row>0</xdr:row>
      <xdr:rowOff>381003</xdr:rowOff>
    </xdr:to>
    <xdr:sp macro="" textlink="">
      <xdr:nvSpPr>
        <xdr:cNvPr id="2" name="Isosceles Triangle 1">
          <a:hlinkClick xmlns:r="http://schemas.openxmlformats.org/officeDocument/2006/relationships" r:id="rId1"/>
        </xdr:cNvPr>
        <xdr:cNvSpPr/>
      </xdr:nvSpPr>
      <xdr:spPr bwMode="auto">
        <a:xfrm rot="5400000">
          <a:off x="9987719733" y="109539"/>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0</xdr:col>
      <xdr:colOff>381003</xdr:colOff>
      <xdr:row>0</xdr:row>
      <xdr:rowOff>66675</xdr:rowOff>
    </xdr:from>
    <xdr:to>
      <xdr:col>1</xdr:col>
      <xdr:colOff>180978</xdr:colOff>
      <xdr:row>0</xdr:row>
      <xdr:rowOff>371478</xdr:rowOff>
    </xdr:to>
    <xdr:sp macro="" textlink="">
      <xdr:nvSpPr>
        <xdr:cNvPr id="3" name="Isosceles Triangle 2">
          <a:hlinkClick xmlns:r="http://schemas.openxmlformats.org/officeDocument/2006/relationships" r:id="rId2"/>
        </xdr:cNvPr>
        <xdr:cNvSpPr/>
      </xdr:nvSpPr>
      <xdr:spPr bwMode="auto">
        <a:xfrm rot="16200000">
          <a:off x="9987433983" y="100014"/>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85728</xdr:colOff>
      <xdr:row>0</xdr:row>
      <xdr:rowOff>190500</xdr:rowOff>
    </xdr:from>
    <xdr:to>
      <xdr:col>0</xdr:col>
      <xdr:colOff>323853</xdr:colOff>
      <xdr:row>0</xdr:row>
      <xdr:rowOff>495303</xdr:rowOff>
    </xdr:to>
    <xdr:sp macro="" textlink="">
      <xdr:nvSpPr>
        <xdr:cNvPr id="3" name="Isosceles Triangle 2">
          <a:hlinkClick xmlns:r="http://schemas.openxmlformats.org/officeDocument/2006/relationships" r:id="rId1"/>
        </xdr:cNvPr>
        <xdr:cNvSpPr/>
      </xdr:nvSpPr>
      <xdr:spPr bwMode="auto">
        <a:xfrm rot="5400000">
          <a:off x="26809250733" y="223839"/>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0</xdr:col>
      <xdr:colOff>371478</xdr:colOff>
      <xdr:row>0</xdr:row>
      <xdr:rowOff>180975</xdr:rowOff>
    </xdr:from>
    <xdr:to>
      <xdr:col>1</xdr:col>
      <xdr:colOff>76203</xdr:colOff>
      <xdr:row>0</xdr:row>
      <xdr:rowOff>485778</xdr:rowOff>
    </xdr:to>
    <xdr:sp macro="" textlink="">
      <xdr:nvSpPr>
        <xdr:cNvPr id="4" name="Isosceles Triangle 3">
          <a:hlinkClick xmlns:r="http://schemas.openxmlformats.org/officeDocument/2006/relationships" r:id="rId2"/>
        </xdr:cNvPr>
        <xdr:cNvSpPr/>
      </xdr:nvSpPr>
      <xdr:spPr bwMode="auto">
        <a:xfrm rot="16200000">
          <a:off x="26808964983" y="214314"/>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19053</xdr:colOff>
      <xdr:row>0</xdr:row>
      <xdr:rowOff>209550</xdr:rowOff>
    </xdr:from>
    <xdr:to>
      <xdr:col>0</xdr:col>
      <xdr:colOff>257178</xdr:colOff>
      <xdr:row>0</xdr:row>
      <xdr:rowOff>514353</xdr:rowOff>
    </xdr:to>
    <xdr:sp macro="" textlink="">
      <xdr:nvSpPr>
        <xdr:cNvPr id="5" name="Isosceles Triangle 4">
          <a:hlinkClick xmlns:r="http://schemas.openxmlformats.org/officeDocument/2006/relationships" r:id="rId1"/>
        </xdr:cNvPr>
        <xdr:cNvSpPr/>
      </xdr:nvSpPr>
      <xdr:spPr bwMode="auto">
        <a:xfrm rot="5400000">
          <a:off x="8746669383" y="242889"/>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0</xdr:col>
      <xdr:colOff>304803</xdr:colOff>
      <xdr:row>0</xdr:row>
      <xdr:rowOff>200025</xdr:rowOff>
    </xdr:from>
    <xdr:to>
      <xdr:col>0</xdr:col>
      <xdr:colOff>542928</xdr:colOff>
      <xdr:row>0</xdr:row>
      <xdr:rowOff>504828</xdr:rowOff>
    </xdr:to>
    <xdr:sp macro="" textlink="">
      <xdr:nvSpPr>
        <xdr:cNvPr id="6" name="Isosceles Triangle 5">
          <a:hlinkClick xmlns:r="http://schemas.openxmlformats.org/officeDocument/2006/relationships" r:id="rId2"/>
        </xdr:cNvPr>
        <xdr:cNvSpPr/>
      </xdr:nvSpPr>
      <xdr:spPr bwMode="auto">
        <a:xfrm rot="16200000">
          <a:off x="8746383633" y="233364"/>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85728</xdr:colOff>
      <xdr:row>0</xdr:row>
      <xdr:rowOff>209550</xdr:rowOff>
    </xdr:from>
    <xdr:to>
      <xdr:col>0</xdr:col>
      <xdr:colOff>323853</xdr:colOff>
      <xdr:row>0</xdr:row>
      <xdr:rowOff>514353</xdr:rowOff>
    </xdr:to>
    <xdr:sp macro="" textlink="">
      <xdr:nvSpPr>
        <xdr:cNvPr id="3" name="Isosceles Triangle 2">
          <a:hlinkClick xmlns:r="http://schemas.openxmlformats.org/officeDocument/2006/relationships" r:id="rId1"/>
        </xdr:cNvPr>
        <xdr:cNvSpPr/>
      </xdr:nvSpPr>
      <xdr:spPr bwMode="auto">
        <a:xfrm rot="5400000">
          <a:off x="8744116683" y="242889"/>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0</xdr:col>
      <xdr:colOff>371478</xdr:colOff>
      <xdr:row>0</xdr:row>
      <xdr:rowOff>200025</xdr:rowOff>
    </xdr:from>
    <xdr:to>
      <xdr:col>0</xdr:col>
      <xdr:colOff>609603</xdr:colOff>
      <xdr:row>0</xdr:row>
      <xdr:rowOff>504828</xdr:rowOff>
    </xdr:to>
    <xdr:sp macro="" textlink="">
      <xdr:nvSpPr>
        <xdr:cNvPr id="4" name="Isosceles Triangle 3">
          <a:hlinkClick xmlns:r="http://schemas.openxmlformats.org/officeDocument/2006/relationships" r:id="rId2"/>
        </xdr:cNvPr>
        <xdr:cNvSpPr/>
      </xdr:nvSpPr>
      <xdr:spPr bwMode="auto">
        <a:xfrm rot="16200000">
          <a:off x="8743830933" y="233364"/>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6</xdr:col>
      <xdr:colOff>0</xdr:colOff>
      <xdr:row>0</xdr:row>
      <xdr:rowOff>95251</xdr:rowOff>
    </xdr:from>
    <xdr:to>
      <xdr:col>6</xdr:col>
      <xdr:colOff>0</xdr:colOff>
      <xdr:row>1</xdr:row>
      <xdr:rowOff>85728</xdr:rowOff>
    </xdr:to>
    <xdr:sp macro="" textlink="">
      <xdr:nvSpPr>
        <xdr:cNvPr id="2" name="Isosceles Triangle 1">
          <a:hlinkClick xmlns:r="http://schemas.openxmlformats.org/officeDocument/2006/relationships" r:id="rId1"/>
        </xdr:cNvPr>
        <xdr:cNvSpPr/>
      </xdr:nvSpPr>
      <xdr:spPr>
        <a:xfrm rot="5400000">
          <a:off x="23399100711" y="300040"/>
          <a:ext cx="409577" cy="0"/>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5</xdr:col>
      <xdr:colOff>438153</xdr:colOff>
      <xdr:row>0</xdr:row>
      <xdr:rowOff>104775</xdr:rowOff>
    </xdr:from>
    <xdr:to>
      <xdr:col>5</xdr:col>
      <xdr:colOff>676278</xdr:colOff>
      <xdr:row>0</xdr:row>
      <xdr:rowOff>409578</xdr:rowOff>
    </xdr:to>
    <xdr:sp macro="" textlink="">
      <xdr:nvSpPr>
        <xdr:cNvPr id="3" name="Isosceles Triangle 2">
          <a:hlinkClick xmlns:r="http://schemas.openxmlformats.org/officeDocument/2006/relationships" r:id="rId2"/>
        </xdr:cNvPr>
        <xdr:cNvSpPr/>
      </xdr:nvSpPr>
      <xdr:spPr bwMode="auto">
        <a:xfrm rot="5400000">
          <a:off x="23400110358" y="138114"/>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editAs="oneCell">
    <xdr:from>
      <xdr:col>5</xdr:col>
      <xdr:colOff>714375</xdr:colOff>
      <xdr:row>0</xdr:row>
      <xdr:rowOff>152400</xdr:rowOff>
    </xdr:from>
    <xdr:to>
      <xdr:col>5</xdr:col>
      <xdr:colOff>1007779</xdr:colOff>
      <xdr:row>0</xdr:row>
      <xdr:rowOff>409575</xdr:rowOff>
    </xdr:to>
    <xdr:pic>
      <xdr:nvPicPr>
        <xdr:cNvPr id="4" name="Picture 3" descr="23061979.png">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23399812196" y="152400"/>
          <a:ext cx="293404" cy="257175"/>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xdr:from>
      <xdr:col>0</xdr:col>
      <xdr:colOff>123828</xdr:colOff>
      <xdr:row>0</xdr:row>
      <xdr:rowOff>66675</xdr:rowOff>
    </xdr:from>
    <xdr:to>
      <xdr:col>0</xdr:col>
      <xdr:colOff>361953</xdr:colOff>
      <xdr:row>0</xdr:row>
      <xdr:rowOff>371478</xdr:rowOff>
    </xdr:to>
    <xdr:sp macro="" textlink="">
      <xdr:nvSpPr>
        <xdr:cNvPr id="2" name="Isosceles Triangle 1">
          <a:hlinkClick xmlns:r="http://schemas.openxmlformats.org/officeDocument/2006/relationships" r:id="rId1"/>
        </xdr:cNvPr>
        <xdr:cNvSpPr/>
      </xdr:nvSpPr>
      <xdr:spPr bwMode="auto">
        <a:xfrm rot="5400000">
          <a:off x="9987691158" y="100014"/>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0</xdr:col>
      <xdr:colOff>409578</xdr:colOff>
      <xdr:row>0</xdr:row>
      <xdr:rowOff>57150</xdr:rowOff>
    </xdr:from>
    <xdr:to>
      <xdr:col>1</xdr:col>
      <xdr:colOff>209553</xdr:colOff>
      <xdr:row>0</xdr:row>
      <xdr:rowOff>361953</xdr:rowOff>
    </xdr:to>
    <xdr:sp macro="" textlink="">
      <xdr:nvSpPr>
        <xdr:cNvPr id="3" name="Isosceles Triangle 2">
          <a:hlinkClick xmlns:r="http://schemas.openxmlformats.org/officeDocument/2006/relationships" r:id="rId2"/>
        </xdr:cNvPr>
        <xdr:cNvSpPr/>
      </xdr:nvSpPr>
      <xdr:spPr bwMode="auto">
        <a:xfrm rot="16200000">
          <a:off x="9987405408" y="90489"/>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28578</xdr:colOff>
      <xdr:row>0</xdr:row>
      <xdr:rowOff>200025</xdr:rowOff>
    </xdr:from>
    <xdr:to>
      <xdr:col>0</xdr:col>
      <xdr:colOff>266703</xdr:colOff>
      <xdr:row>0</xdr:row>
      <xdr:rowOff>504828</xdr:rowOff>
    </xdr:to>
    <xdr:sp macro="" textlink="">
      <xdr:nvSpPr>
        <xdr:cNvPr id="3" name="Isosceles Triangle 2">
          <a:hlinkClick xmlns:r="http://schemas.openxmlformats.org/officeDocument/2006/relationships" r:id="rId1"/>
        </xdr:cNvPr>
        <xdr:cNvSpPr/>
      </xdr:nvSpPr>
      <xdr:spPr bwMode="auto">
        <a:xfrm rot="5400000">
          <a:off x="26809460283" y="233364"/>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0</xdr:col>
      <xdr:colOff>314328</xdr:colOff>
      <xdr:row>0</xdr:row>
      <xdr:rowOff>190500</xdr:rowOff>
    </xdr:from>
    <xdr:to>
      <xdr:col>1</xdr:col>
      <xdr:colOff>19053</xdr:colOff>
      <xdr:row>0</xdr:row>
      <xdr:rowOff>495303</xdr:rowOff>
    </xdr:to>
    <xdr:sp macro="" textlink="">
      <xdr:nvSpPr>
        <xdr:cNvPr id="4" name="Isosceles Triangle 3">
          <a:hlinkClick xmlns:r="http://schemas.openxmlformats.org/officeDocument/2006/relationships" r:id="rId2"/>
        </xdr:cNvPr>
        <xdr:cNvSpPr/>
      </xdr:nvSpPr>
      <xdr:spPr bwMode="auto">
        <a:xfrm rot="16200000">
          <a:off x="26809174533" y="223839"/>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114303</xdr:colOff>
      <xdr:row>0</xdr:row>
      <xdr:rowOff>142875</xdr:rowOff>
    </xdr:from>
    <xdr:to>
      <xdr:col>0</xdr:col>
      <xdr:colOff>352428</xdr:colOff>
      <xdr:row>0</xdr:row>
      <xdr:rowOff>447678</xdr:rowOff>
    </xdr:to>
    <xdr:sp macro="" textlink="">
      <xdr:nvSpPr>
        <xdr:cNvPr id="3" name="Isosceles Triangle 2">
          <a:hlinkClick xmlns:r="http://schemas.openxmlformats.org/officeDocument/2006/relationships" r:id="rId1"/>
        </xdr:cNvPr>
        <xdr:cNvSpPr/>
      </xdr:nvSpPr>
      <xdr:spPr bwMode="auto">
        <a:xfrm rot="5400000">
          <a:off x="23385375183" y="176214"/>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0</xdr:col>
      <xdr:colOff>400053</xdr:colOff>
      <xdr:row>0</xdr:row>
      <xdr:rowOff>133350</xdr:rowOff>
    </xdr:from>
    <xdr:to>
      <xdr:col>0</xdr:col>
      <xdr:colOff>638178</xdr:colOff>
      <xdr:row>0</xdr:row>
      <xdr:rowOff>438153</xdr:rowOff>
    </xdr:to>
    <xdr:sp macro="" textlink="">
      <xdr:nvSpPr>
        <xdr:cNvPr id="4" name="Isosceles Triangle 3">
          <a:hlinkClick xmlns:r="http://schemas.openxmlformats.org/officeDocument/2006/relationships" r:id="rId2"/>
        </xdr:cNvPr>
        <xdr:cNvSpPr/>
      </xdr:nvSpPr>
      <xdr:spPr bwMode="auto">
        <a:xfrm rot="16200000">
          <a:off x="23385089433" y="166689"/>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57153</xdr:colOff>
      <xdr:row>0</xdr:row>
      <xdr:rowOff>200025</xdr:rowOff>
    </xdr:from>
    <xdr:to>
      <xdr:col>0</xdr:col>
      <xdr:colOff>295278</xdr:colOff>
      <xdr:row>0</xdr:row>
      <xdr:rowOff>504828</xdr:rowOff>
    </xdr:to>
    <xdr:sp macro="" textlink="">
      <xdr:nvSpPr>
        <xdr:cNvPr id="3" name="Isosceles Triangle 2">
          <a:hlinkClick xmlns:r="http://schemas.openxmlformats.org/officeDocument/2006/relationships" r:id="rId1"/>
        </xdr:cNvPr>
        <xdr:cNvSpPr/>
      </xdr:nvSpPr>
      <xdr:spPr bwMode="auto">
        <a:xfrm rot="5400000">
          <a:off x="8746631283" y="233364"/>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0</xdr:col>
      <xdr:colOff>342903</xdr:colOff>
      <xdr:row>0</xdr:row>
      <xdr:rowOff>190500</xdr:rowOff>
    </xdr:from>
    <xdr:to>
      <xdr:col>0</xdr:col>
      <xdr:colOff>581028</xdr:colOff>
      <xdr:row>0</xdr:row>
      <xdr:rowOff>495303</xdr:rowOff>
    </xdr:to>
    <xdr:sp macro="" textlink="">
      <xdr:nvSpPr>
        <xdr:cNvPr id="4" name="Isosceles Triangle 3">
          <a:hlinkClick xmlns:r="http://schemas.openxmlformats.org/officeDocument/2006/relationships" r:id="rId2"/>
        </xdr:cNvPr>
        <xdr:cNvSpPr/>
      </xdr:nvSpPr>
      <xdr:spPr bwMode="auto">
        <a:xfrm rot="16200000">
          <a:off x="8746345533" y="223839"/>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95253</xdr:colOff>
      <xdr:row>0</xdr:row>
      <xdr:rowOff>190500</xdr:rowOff>
    </xdr:from>
    <xdr:to>
      <xdr:col>0</xdr:col>
      <xdr:colOff>333378</xdr:colOff>
      <xdr:row>0</xdr:row>
      <xdr:rowOff>495303</xdr:rowOff>
    </xdr:to>
    <xdr:sp macro="" textlink="">
      <xdr:nvSpPr>
        <xdr:cNvPr id="2" name="Isosceles Triangle 1">
          <a:hlinkClick xmlns:r="http://schemas.openxmlformats.org/officeDocument/2006/relationships" r:id="rId1"/>
        </xdr:cNvPr>
        <xdr:cNvSpPr/>
      </xdr:nvSpPr>
      <xdr:spPr bwMode="auto">
        <a:xfrm rot="5400000">
          <a:off x="9991272558" y="223839"/>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6</xdr:col>
      <xdr:colOff>0</xdr:colOff>
      <xdr:row>0</xdr:row>
      <xdr:rowOff>95251</xdr:rowOff>
    </xdr:from>
    <xdr:to>
      <xdr:col>6</xdr:col>
      <xdr:colOff>0</xdr:colOff>
      <xdr:row>1</xdr:row>
      <xdr:rowOff>85728</xdr:rowOff>
    </xdr:to>
    <xdr:sp macro="" textlink="">
      <xdr:nvSpPr>
        <xdr:cNvPr id="2" name="Isosceles Triangle 1">
          <a:hlinkClick xmlns:r="http://schemas.openxmlformats.org/officeDocument/2006/relationships" r:id="rId1"/>
        </xdr:cNvPr>
        <xdr:cNvSpPr/>
      </xdr:nvSpPr>
      <xdr:spPr>
        <a:xfrm rot="5400000">
          <a:off x="23381260386" y="300040"/>
          <a:ext cx="409577" cy="0"/>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5</xdr:col>
      <xdr:colOff>313667</xdr:colOff>
      <xdr:row>0</xdr:row>
      <xdr:rowOff>57150</xdr:rowOff>
    </xdr:from>
    <xdr:to>
      <xdr:col>6</xdr:col>
      <xdr:colOff>0</xdr:colOff>
      <xdr:row>1</xdr:row>
      <xdr:rowOff>66678</xdr:rowOff>
    </xdr:to>
    <xdr:grpSp>
      <xdr:nvGrpSpPr>
        <xdr:cNvPr id="3" name="Group 2"/>
        <xdr:cNvGrpSpPr/>
      </xdr:nvGrpSpPr>
      <xdr:grpSpPr>
        <a:xfrm>
          <a:off x="23381465175" y="57150"/>
          <a:ext cx="658" cy="428628"/>
          <a:chOff x="23396571825" y="47625"/>
          <a:chExt cx="543583" cy="295278"/>
        </a:xfrm>
      </xdr:grpSpPr>
      <xdr:sp macro="" textlink="">
        <xdr:nvSpPr>
          <xdr:cNvPr id="4" name="Isosceles Triangle 3">
            <a:hlinkClick xmlns:r="http://schemas.openxmlformats.org/officeDocument/2006/relationships" r:id="rId2"/>
          </xdr:cNvPr>
          <xdr:cNvSpPr/>
        </xdr:nvSpPr>
        <xdr:spPr>
          <a:xfrm rot="5400000">
            <a:off x="23396848380" y="75875"/>
            <a:ext cx="295275" cy="238781"/>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sp macro="" textlink="">
        <xdr:nvSpPr>
          <xdr:cNvPr id="5" name="Isosceles Triangle 4">
            <a:hlinkClick xmlns:r="http://schemas.openxmlformats.org/officeDocument/2006/relationships" r:id="rId3"/>
          </xdr:cNvPr>
          <xdr:cNvSpPr/>
        </xdr:nvSpPr>
        <xdr:spPr>
          <a:xfrm rot="16200000">
            <a:off x="23396543578" y="75872"/>
            <a:ext cx="295275" cy="238781"/>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grpSp>
    <xdr:clientData/>
  </xdr:twoCellAnchor>
  <xdr:twoCellAnchor>
    <xdr:from>
      <xdr:col>13</xdr:col>
      <xdr:colOff>85728</xdr:colOff>
      <xdr:row>0</xdr:row>
      <xdr:rowOff>76200</xdr:rowOff>
    </xdr:from>
    <xdr:to>
      <xdr:col>14</xdr:col>
      <xdr:colOff>9528</xdr:colOff>
      <xdr:row>0</xdr:row>
      <xdr:rowOff>381003</xdr:rowOff>
    </xdr:to>
    <xdr:sp macro="" textlink="">
      <xdr:nvSpPr>
        <xdr:cNvPr id="6" name="Isosceles Triangle 5">
          <a:hlinkClick xmlns:r="http://schemas.openxmlformats.org/officeDocument/2006/relationships" r:id="rId4"/>
        </xdr:cNvPr>
        <xdr:cNvSpPr/>
      </xdr:nvSpPr>
      <xdr:spPr bwMode="auto">
        <a:xfrm rot="5400000">
          <a:off x="23378907708" y="109539"/>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editAs="oneCell">
    <xdr:from>
      <xdr:col>14</xdr:col>
      <xdr:colOff>57150</xdr:colOff>
      <xdr:row>0</xdr:row>
      <xdr:rowOff>95250</xdr:rowOff>
    </xdr:from>
    <xdr:to>
      <xdr:col>15</xdr:col>
      <xdr:colOff>36229</xdr:colOff>
      <xdr:row>0</xdr:row>
      <xdr:rowOff>352425</xdr:rowOff>
    </xdr:to>
    <xdr:pic>
      <xdr:nvPicPr>
        <xdr:cNvPr id="7" name="Picture 6" descr="23061979.png">
          <a:hlinkClick xmlns:r="http://schemas.openxmlformats.org/officeDocument/2006/relationships" r:id="rId5"/>
        </xdr:cNvPr>
        <xdr:cNvPicPr>
          <a:picLocks noChangeAspect="1"/>
        </xdr:cNvPicPr>
      </xdr:nvPicPr>
      <xdr:blipFill>
        <a:blip xmlns:r="http://schemas.openxmlformats.org/officeDocument/2006/relationships" r:embed="rId6" cstate="print"/>
        <a:stretch>
          <a:fillRect/>
        </a:stretch>
      </xdr:blipFill>
      <xdr:spPr>
        <a:xfrm>
          <a:off x="23378600021" y="95250"/>
          <a:ext cx="293404" cy="257175"/>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twoCellAnchor>
    <xdr:from>
      <xdr:col>0</xdr:col>
      <xdr:colOff>133353</xdr:colOff>
      <xdr:row>0</xdr:row>
      <xdr:rowOff>114300</xdr:rowOff>
    </xdr:from>
    <xdr:to>
      <xdr:col>0</xdr:col>
      <xdr:colOff>371478</xdr:colOff>
      <xdr:row>0</xdr:row>
      <xdr:rowOff>419103</xdr:rowOff>
    </xdr:to>
    <xdr:sp macro="" textlink="">
      <xdr:nvSpPr>
        <xdr:cNvPr id="2" name="Isosceles Triangle 1">
          <a:hlinkClick xmlns:r="http://schemas.openxmlformats.org/officeDocument/2006/relationships" r:id="rId1"/>
        </xdr:cNvPr>
        <xdr:cNvSpPr/>
      </xdr:nvSpPr>
      <xdr:spPr bwMode="auto">
        <a:xfrm rot="5400000">
          <a:off x="9987681633" y="147639"/>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0</xdr:col>
      <xdr:colOff>400053</xdr:colOff>
      <xdr:row>0</xdr:row>
      <xdr:rowOff>104775</xdr:rowOff>
    </xdr:from>
    <xdr:to>
      <xdr:col>1</xdr:col>
      <xdr:colOff>200028</xdr:colOff>
      <xdr:row>0</xdr:row>
      <xdr:rowOff>409578</xdr:rowOff>
    </xdr:to>
    <xdr:sp macro="" textlink="">
      <xdr:nvSpPr>
        <xdr:cNvPr id="3" name="Isosceles Triangle 2">
          <a:hlinkClick xmlns:r="http://schemas.openxmlformats.org/officeDocument/2006/relationships" r:id="rId2"/>
        </xdr:cNvPr>
        <xdr:cNvSpPr/>
      </xdr:nvSpPr>
      <xdr:spPr bwMode="auto">
        <a:xfrm rot="16200000">
          <a:off x="9987414933" y="138114"/>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76203</xdr:colOff>
      <xdr:row>0</xdr:row>
      <xdr:rowOff>171450</xdr:rowOff>
    </xdr:from>
    <xdr:to>
      <xdr:col>0</xdr:col>
      <xdr:colOff>314328</xdr:colOff>
      <xdr:row>0</xdr:row>
      <xdr:rowOff>476253</xdr:rowOff>
    </xdr:to>
    <xdr:sp macro="" textlink="">
      <xdr:nvSpPr>
        <xdr:cNvPr id="3" name="Isosceles Triangle 2">
          <a:hlinkClick xmlns:r="http://schemas.openxmlformats.org/officeDocument/2006/relationships" r:id="rId1"/>
        </xdr:cNvPr>
        <xdr:cNvSpPr/>
      </xdr:nvSpPr>
      <xdr:spPr bwMode="auto">
        <a:xfrm rot="5400000">
          <a:off x="26809126908" y="204789"/>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0</xdr:col>
      <xdr:colOff>342903</xdr:colOff>
      <xdr:row>0</xdr:row>
      <xdr:rowOff>161925</xdr:rowOff>
    </xdr:from>
    <xdr:to>
      <xdr:col>1</xdr:col>
      <xdr:colOff>47628</xdr:colOff>
      <xdr:row>0</xdr:row>
      <xdr:rowOff>466728</xdr:rowOff>
    </xdr:to>
    <xdr:sp macro="" textlink="">
      <xdr:nvSpPr>
        <xdr:cNvPr id="4" name="Isosceles Triangle 3">
          <a:hlinkClick xmlns:r="http://schemas.openxmlformats.org/officeDocument/2006/relationships" r:id="rId2"/>
        </xdr:cNvPr>
        <xdr:cNvSpPr/>
      </xdr:nvSpPr>
      <xdr:spPr bwMode="auto">
        <a:xfrm rot="16200000">
          <a:off x="26808860208" y="195264"/>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57153</xdr:colOff>
      <xdr:row>0</xdr:row>
      <xdr:rowOff>200025</xdr:rowOff>
    </xdr:from>
    <xdr:to>
      <xdr:col>0</xdr:col>
      <xdr:colOff>295278</xdr:colOff>
      <xdr:row>0</xdr:row>
      <xdr:rowOff>504828</xdr:rowOff>
    </xdr:to>
    <xdr:sp macro="" textlink="">
      <xdr:nvSpPr>
        <xdr:cNvPr id="3" name="Isosceles Triangle 2">
          <a:hlinkClick xmlns:r="http://schemas.openxmlformats.org/officeDocument/2006/relationships" r:id="rId1"/>
        </xdr:cNvPr>
        <xdr:cNvSpPr/>
      </xdr:nvSpPr>
      <xdr:spPr bwMode="auto">
        <a:xfrm rot="5400000">
          <a:off x="8744145258" y="233364"/>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0</xdr:col>
      <xdr:colOff>323853</xdr:colOff>
      <xdr:row>0</xdr:row>
      <xdr:rowOff>190500</xdr:rowOff>
    </xdr:from>
    <xdr:to>
      <xdr:col>0</xdr:col>
      <xdr:colOff>561978</xdr:colOff>
      <xdr:row>0</xdr:row>
      <xdr:rowOff>495303</xdr:rowOff>
    </xdr:to>
    <xdr:sp macro="" textlink="">
      <xdr:nvSpPr>
        <xdr:cNvPr id="4" name="Isosceles Triangle 3">
          <a:hlinkClick xmlns:r="http://schemas.openxmlformats.org/officeDocument/2006/relationships" r:id="rId2"/>
        </xdr:cNvPr>
        <xdr:cNvSpPr/>
      </xdr:nvSpPr>
      <xdr:spPr bwMode="auto">
        <a:xfrm rot="16200000">
          <a:off x="8743878558" y="223839"/>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142878</xdr:colOff>
      <xdr:row>0</xdr:row>
      <xdr:rowOff>228600</xdr:rowOff>
    </xdr:from>
    <xdr:to>
      <xdr:col>0</xdr:col>
      <xdr:colOff>381003</xdr:colOff>
      <xdr:row>0</xdr:row>
      <xdr:rowOff>533403</xdr:rowOff>
    </xdr:to>
    <xdr:sp macro="" textlink="">
      <xdr:nvSpPr>
        <xdr:cNvPr id="3" name="Isosceles Triangle 2">
          <a:hlinkClick xmlns:r="http://schemas.openxmlformats.org/officeDocument/2006/relationships" r:id="rId1"/>
        </xdr:cNvPr>
        <xdr:cNvSpPr/>
      </xdr:nvSpPr>
      <xdr:spPr bwMode="auto">
        <a:xfrm rot="5400000">
          <a:off x="8746545558" y="261939"/>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0</xdr:col>
      <xdr:colOff>409578</xdr:colOff>
      <xdr:row>0</xdr:row>
      <xdr:rowOff>219075</xdr:rowOff>
    </xdr:from>
    <xdr:to>
      <xdr:col>0</xdr:col>
      <xdr:colOff>647703</xdr:colOff>
      <xdr:row>0</xdr:row>
      <xdr:rowOff>523878</xdr:rowOff>
    </xdr:to>
    <xdr:sp macro="" textlink="">
      <xdr:nvSpPr>
        <xdr:cNvPr id="4" name="Isosceles Triangle 3">
          <a:hlinkClick xmlns:r="http://schemas.openxmlformats.org/officeDocument/2006/relationships" r:id="rId2"/>
        </xdr:cNvPr>
        <xdr:cNvSpPr/>
      </xdr:nvSpPr>
      <xdr:spPr bwMode="auto">
        <a:xfrm rot="16200000">
          <a:off x="8746278858" y="252414"/>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6</xdr:col>
      <xdr:colOff>0</xdr:colOff>
      <xdr:row>0</xdr:row>
      <xdr:rowOff>95251</xdr:rowOff>
    </xdr:from>
    <xdr:to>
      <xdr:col>6</xdr:col>
      <xdr:colOff>0</xdr:colOff>
      <xdr:row>1</xdr:row>
      <xdr:rowOff>85728</xdr:rowOff>
    </xdr:to>
    <xdr:sp macro="" textlink="">
      <xdr:nvSpPr>
        <xdr:cNvPr id="2" name="Isosceles Triangle 1">
          <a:hlinkClick xmlns:r="http://schemas.openxmlformats.org/officeDocument/2006/relationships" r:id="rId1"/>
        </xdr:cNvPr>
        <xdr:cNvSpPr/>
      </xdr:nvSpPr>
      <xdr:spPr>
        <a:xfrm rot="5400000">
          <a:off x="9984109761" y="300040"/>
          <a:ext cx="409577" cy="0"/>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4</xdr:col>
      <xdr:colOff>1009653</xdr:colOff>
      <xdr:row>0</xdr:row>
      <xdr:rowOff>123825</xdr:rowOff>
    </xdr:from>
    <xdr:to>
      <xdr:col>5</xdr:col>
      <xdr:colOff>9528</xdr:colOff>
      <xdr:row>1</xdr:row>
      <xdr:rowOff>9528</xdr:rowOff>
    </xdr:to>
    <xdr:sp macro="" textlink="">
      <xdr:nvSpPr>
        <xdr:cNvPr id="3" name="Isosceles Triangle 2">
          <a:hlinkClick xmlns:r="http://schemas.openxmlformats.org/officeDocument/2006/relationships" r:id="rId2"/>
        </xdr:cNvPr>
        <xdr:cNvSpPr/>
      </xdr:nvSpPr>
      <xdr:spPr bwMode="auto">
        <a:xfrm rot="5400000">
          <a:off x="9985452783" y="157164"/>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editAs="oneCell">
    <xdr:from>
      <xdr:col>5</xdr:col>
      <xdr:colOff>85725</xdr:colOff>
      <xdr:row>0</xdr:row>
      <xdr:rowOff>123825</xdr:rowOff>
    </xdr:from>
    <xdr:to>
      <xdr:col>5</xdr:col>
      <xdr:colOff>379129</xdr:colOff>
      <xdr:row>0</xdr:row>
      <xdr:rowOff>381000</xdr:rowOff>
    </xdr:to>
    <xdr:pic>
      <xdr:nvPicPr>
        <xdr:cNvPr id="4" name="Picture 3" descr="23061979.png">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9985116521" y="123825"/>
          <a:ext cx="293404" cy="257175"/>
        </a:xfrm>
        <a:prstGeom prst="rect">
          <a:avLst/>
        </a:prstGeom>
      </xdr:spPr>
    </xdr:pic>
    <xdr:clientData/>
  </xdr:twoCellAnchor>
</xdr:wsDr>
</file>

<file path=xl/drawings/drawing56.xml><?xml version="1.0" encoding="utf-8"?>
<xdr:wsDr xmlns:xdr="http://schemas.openxmlformats.org/drawingml/2006/spreadsheetDrawing" xmlns:a="http://schemas.openxmlformats.org/drawingml/2006/main">
  <xdr:twoCellAnchor>
    <xdr:from>
      <xdr:col>0</xdr:col>
      <xdr:colOff>133353</xdr:colOff>
      <xdr:row>0</xdr:row>
      <xdr:rowOff>85725</xdr:rowOff>
    </xdr:from>
    <xdr:to>
      <xdr:col>0</xdr:col>
      <xdr:colOff>371478</xdr:colOff>
      <xdr:row>0</xdr:row>
      <xdr:rowOff>390528</xdr:rowOff>
    </xdr:to>
    <xdr:sp macro="" textlink="">
      <xdr:nvSpPr>
        <xdr:cNvPr id="2" name="Isosceles Triangle 1">
          <a:hlinkClick xmlns:r="http://schemas.openxmlformats.org/officeDocument/2006/relationships" r:id="rId1"/>
        </xdr:cNvPr>
        <xdr:cNvSpPr/>
      </xdr:nvSpPr>
      <xdr:spPr bwMode="auto">
        <a:xfrm rot="5400000">
          <a:off x="9987681633" y="119064"/>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0</xdr:col>
      <xdr:colOff>419103</xdr:colOff>
      <xdr:row>0</xdr:row>
      <xdr:rowOff>76200</xdr:rowOff>
    </xdr:from>
    <xdr:to>
      <xdr:col>1</xdr:col>
      <xdr:colOff>219078</xdr:colOff>
      <xdr:row>0</xdr:row>
      <xdr:rowOff>381003</xdr:rowOff>
    </xdr:to>
    <xdr:sp macro="" textlink="">
      <xdr:nvSpPr>
        <xdr:cNvPr id="3" name="Isosceles Triangle 2">
          <a:hlinkClick xmlns:r="http://schemas.openxmlformats.org/officeDocument/2006/relationships" r:id="rId2"/>
        </xdr:cNvPr>
        <xdr:cNvSpPr/>
      </xdr:nvSpPr>
      <xdr:spPr bwMode="auto">
        <a:xfrm rot="16200000">
          <a:off x="9987395883" y="109539"/>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47628</xdr:colOff>
      <xdr:row>0</xdr:row>
      <xdr:rowOff>161925</xdr:rowOff>
    </xdr:from>
    <xdr:to>
      <xdr:col>0</xdr:col>
      <xdr:colOff>285753</xdr:colOff>
      <xdr:row>0</xdr:row>
      <xdr:rowOff>466728</xdr:rowOff>
    </xdr:to>
    <xdr:sp macro="" textlink="">
      <xdr:nvSpPr>
        <xdr:cNvPr id="3" name="Isosceles Triangle 2">
          <a:hlinkClick xmlns:r="http://schemas.openxmlformats.org/officeDocument/2006/relationships" r:id="rId1"/>
        </xdr:cNvPr>
        <xdr:cNvSpPr/>
      </xdr:nvSpPr>
      <xdr:spPr bwMode="auto">
        <a:xfrm rot="5400000">
          <a:off x="26809136433" y="195264"/>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0</xdr:col>
      <xdr:colOff>314328</xdr:colOff>
      <xdr:row>0</xdr:row>
      <xdr:rowOff>152400</xdr:rowOff>
    </xdr:from>
    <xdr:to>
      <xdr:col>1</xdr:col>
      <xdr:colOff>19053</xdr:colOff>
      <xdr:row>0</xdr:row>
      <xdr:rowOff>457203</xdr:rowOff>
    </xdr:to>
    <xdr:sp macro="" textlink="">
      <xdr:nvSpPr>
        <xdr:cNvPr id="4" name="Isosceles Triangle 3">
          <a:hlinkClick xmlns:r="http://schemas.openxmlformats.org/officeDocument/2006/relationships" r:id="rId2"/>
        </xdr:cNvPr>
        <xdr:cNvSpPr/>
      </xdr:nvSpPr>
      <xdr:spPr bwMode="auto">
        <a:xfrm rot="16200000">
          <a:off x="26808869733" y="185739"/>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95253</xdr:colOff>
      <xdr:row>0</xdr:row>
      <xdr:rowOff>38100</xdr:rowOff>
    </xdr:from>
    <xdr:to>
      <xdr:col>1</xdr:col>
      <xdr:colOff>47628</xdr:colOff>
      <xdr:row>0</xdr:row>
      <xdr:rowOff>342903</xdr:rowOff>
    </xdr:to>
    <xdr:sp macro="" textlink="">
      <xdr:nvSpPr>
        <xdr:cNvPr id="3" name="Isosceles Triangle 2">
          <a:hlinkClick xmlns:r="http://schemas.openxmlformats.org/officeDocument/2006/relationships" r:id="rId1"/>
        </xdr:cNvPr>
        <xdr:cNvSpPr/>
      </xdr:nvSpPr>
      <xdr:spPr bwMode="auto">
        <a:xfrm rot="5400000">
          <a:off x="23387623083" y="71439"/>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1</xdr:col>
      <xdr:colOff>95253</xdr:colOff>
      <xdr:row>0</xdr:row>
      <xdr:rowOff>28575</xdr:rowOff>
    </xdr:from>
    <xdr:to>
      <xdr:col>1</xdr:col>
      <xdr:colOff>333378</xdr:colOff>
      <xdr:row>0</xdr:row>
      <xdr:rowOff>333378</xdr:rowOff>
    </xdr:to>
    <xdr:sp macro="" textlink="">
      <xdr:nvSpPr>
        <xdr:cNvPr id="4" name="Isosceles Triangle 3">
          <a:hlinkClick xmlns:r="http://schemas.openxmlformats.org/officeDocument/2006/relationships" r:id="rId2"/>
        </xdr:cNvPr>
        <xdr:cNvSpPr/>
      </xdr:nvSpPr>
      <xdr:spPr bwMode="auto">
        <a:xfrm rot="16200000">
          <a:off x="23387337333" y="61914"/>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57153</xdr:colOff>
      <xdr:row>0</xdr:row>
      <xdr:rowOff>228600</xdr:rowOff>
    </xdr:from>
    <xdr:to>
      <xdr:col>0</xdr:col>
      <xdr:colOff>295278</xdr:colOff>
      <xdr:row>0</xdr:row>
      <xdr:rowOff>533403</xdr:rowOff>
    </xdr:to>
    <xdr:sp macro="" textlink="">
      <xdr:nvSpPr>
        <xdr:cNvPr id="3" name="Isosceles Triangle 2">
          <a:hlinkClick xmlns:r="http://schemas.openxmlformats.org/officeDocument/2006/relationships" r:id="rId1"/>
        </xdr:cNvPr>
        <xdr:cNvSpPr/>
      </xdr:nvSpPr>
      <xdr:spPr bwMode="auto">
        <a:xfrm rot="5400000">
          <a:off x="8746631283" y="261939"/>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0</xdr:col>
      <xdr:colOff>342903</xdr:colOff>
      <xdr:row>0</xdr:row>
      <xdr:rowOff>219075</xdr:rowOff>
    </xdr:from>
    <xdr:to>
      <xdr:col>0</xdr:col>
      <xdr:colOff>581028</xdr:colOff>
      <xdr:row>0</xdr:row>
      <xdr:rowOff>523878</xdr:rowOff>
    </xdr:to>
    <xdr:sp macro="" textlink="">
      <xdr:nvSpPr>
        <xdr:cNvPr id="4" name="Isosceles Triangle 3">
          <a:hlinkClick xmlns:r="http://schemas.openxmlformats.org/officeDocument/2006/relationships" r:id="rId2"/>
        </xdr:cNvPr>
        <xdr:cNvSpPr/>
      </xdr:nvSpPr>
      <xdr:spPr bwMode="auto">
        <a:xfrm rot="16200000">
          <a:off x="8746345533" y="252414"/>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142876</xdr:colOff>
      <xdr:row>0</xdr:row>
      <xdr:rowOff>66675</xdr:rowOff>
    </xdr:from>
    <xdr:to>
      <xdr:col>0</xdr:col>
      <xdr:colOff>371479</xdr:colOff>
      <xdr:row>0</xdr:row>
      <xdr:rowOff>323850</xdr:rowOff>
    </xdr:to>
    <xdr:sp macro="" textlink="">
      <xdr:nvSpPr>
        <xdr:cNvPr id="2" name="Isosceles Triangle 1">
          <a:hlinkClick xmlns:r="http://schemas.openxmlformats.org/officeDocument/2006/relationships" r:id="rId1"/>
        </xdr:cNvPr>
        <xdr:cNvSpPr/>
      </xdr:nvSpPr>
      <xdr:spPr bwMode="auto">
        <a:xfrm rot="5400000">
          <a:off x="8741706860" y="80961"/>
          <a:ext cx="257175" cy="228603"/>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0</xdr:col>
      <xdr:colOff>419100</xdr:colOff>
      <xdr:row>0</xdr:row>
      <xdr:rowOff>66674</xdr:rowOff>
    </xdr:from>
    <xdr:to>
      <xdr:col>1</xdr:col>
      <xdr:colOff>180978</xdr:colOff>
      <xdr:row>0</xdr:row>
      <xdr:rowOff>323849</xdr:rowOff>
    </xdr:to>
    <xdr:sp macro="" textlink="">
      <xdr:nvSpPr>
        <xdr:cNvPr id="3" name="Isosceles Triangle 2">
          <a:hlinkClick xmlns:r="http://schemas.openxmlformats.org/officeDocument/2006/relationships" r:id="rId2"/>
        </xdr:cNvPr>
        <xdr:cNvSpPr/>
      </xdr:nvSpPr>
      <xdr:spPr bwMode="auto">
        <a:xfrm rot="16200000">
          <a:off x="8741430636" y="80960"/>
          <a:ext cx="257175" cy="228603"/>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wsDr>
</file>

<file path=xl/drawings/drawing60.xml><?xml version="1.0" encoding="utf-8"?>
<xdr:wsDr xmlns:xdr="http://schemas.openxmlformats.org/drawingml/2006/spreadsheetDrawing" xmlns:a="http://schemas.openxmlformats.org/drawingml/2006/main">
  <xdr:twoCellAnchor>
    <xdr:from>
      <xdr:col>20</xdr:col>
      <xdr:colOff>0</xdr:colOff>
      <xdr:row>0</xdr:row>
      <xdr:rowOff>95251</xdr:rowOff>
    </xdr:from>
    <xdr:to>
      <xdr:col>20</xdr:col>
      <xdr:colOff>0</xdr:colOff>
      <xdr:row>1</xdr:row>
      <xdr:rowOff>85728</xdr:rowOff>
    </xdr:to>
    <xdr:sp macro="" textlink="">
      <xdr:nvSpPr>
        <xdr:cNvPr id="2" name="Isosceles Triangle 1">
          <a:hlinkClick xmlns:r="http://schemas.openxmlformats.org/officeDocument/2006/relationships" r:id="rId1"/>
        </xdr:cNvPr>
        <xdr:cNvSpPr/>
      </xdr:nvSpPr>
      <xdr:spPr>
        <a:xfrm rot="5400000">
          <a:off x="23378679111" y="300040"/>
          <a:ext cx="409577" cy="0"/>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15</xdr:col>
      <xdr:colOff>152403</xdr:colOff>
      <xdr:row>0</xdr:row>
      <xdr:rowOff>57150</xdr:rowOff>
    </xdr:from>
    <xdr:to>
      <xdr:col>15</xdr:col>
      <xdr:colOff>390528</xdr:colOff>
      <xdr:row>0</xdr:row>
      <xdr:rowOff>361953</xdr:rowOff>
    </xdr:to>
    <xdr:sp macro="" textlink="">
      <xdr:nvSpPr>
        <xdr:cNvPr id="3" name="Isosceles Triangle 2">
          <a:hlinkClick xmlns:r="http://schemas.openxmlformats.org/officeDocument/2006/relationships" r:id="rId2"/>
        </xdr:cNvPr>
        <xdr:cNvSpPr/>
      </xdr:nvSpPr>
      <xdr:spPr bwMode="auto">
        <a:xfrm rot="5400000">
          <a:off x="23380460283" y="90489"/>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editAs="oneCell">
    <xdr:from>
      <xdr:col>16</xdr:col>
      <xdr:colOff>19050</xdr:colOff>
      <xdr:row>0</xdr:row>
      <xdr:rowOff>76200</xdr:rowOff>
    </xdr:from>
    <xdr:to>
      <xdr:col>16</xdr:col>
      <xdr:colOff>312454</xdr:colOff>
      <xdr:row>0</xdr:row>
      <xdr:rowOff>333375</xdr:rowOff>
    </xdr:to>
    <xdr:pic>
      <xdr:nvPicPr>
        <xdr:cNvPr id="5" name="Picture 4" descr="23061979.png">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23380171646" y="76200"/>
          <a:ext cx="293404" cy="257175"/>
        </a:xfrm>
        <a:prstGeom prst="rect">
          <a:avLst/>
        </a:prstGeom>
      </xdr:spPr>
    </xdr:pic>
    <xdr:clientData/>
  </xdr:twoCellAnchor>
</xdr:wsDr>
</file>

<file path=xl/drawings/drawing61.xml><?xml version="1.0" encoding="utf-8"?>
<xdr:wsDr xmlns:xdr="http://schemas.openxmlformats.org/drawingml/2006/spreadsheetDrawing" xmlns:a="http://schemas.openxmlformats.org/drawingml/2006/main">
  <xdr:twoCellAnchor>
    <xdr:from>
      <xdr:col>0</xdr:col>
      <xdr:colOff>152403</xdr:colOff>
      <xdr:row>0</xdr:row>
      <xdr:rowOff>142875</xdr:rowOff>
    </xdr:from>
    <xdr:to>
      <xdr:col>0</xdr:col>
      <xdr:colOff>390528</xdr:colOff>
      <xdr:row>0</xdr:row>
      <xdr:rowOff>447678</xdr:rowOff>
    </xdr:to>
    <xdr:sp macro="" textlink="">
      <xdr:nvSpPr>
        <xdr:cNvPr id="2" name="Isosceles Triangle 1">
          <a:hlinkClick xmlns:r="http://schemas.openxmlformats.org/officeDocument/2006/relationships" r:id="rId1"/>
        </xdr:cNvPr>
        <xdr:cNvSpPr/>
      </xdr:nvSpPr>
      <xdr:spPr bwMode="auto">
        <a:xfrm rot="5400000">
          <a:off x="9987662583" y="176214"/>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1</xdr:col>
      <xdr:colOff>3</xdr:colOff>
      <xdr:row>0</xdr:row>
      <xdr:rowOff>133350</xdr:rowOff>
    </xdr:from>
    <xdr:to>
      <xdr:col>1</xdr:col>
      <xdr:colOff>238128</xdr:colOff>
      <xdr:row>0</xdr:row>
      <xdr:rowOff>438153</xdr:rowOff>
    </xdr:to>
    <xdr:sp macro="" textlink="">
      <xdr:nvSpPr>
        <xdr:cNvPr id="3" name="Isosceles Triangle 2">
          <a:hlinkClick xmlns:r="http://schemas.openxmlformats.org/officeDocument/2006/relationships" r:id="rId2"/>
        </xdr:cNvPr>
        <xdr:cNvSpPr/>
      </xdr:nvSpPr>
      <xdr:spPr bwMode="auto">
        <a:xfrm rot="16200000">
          <a:off x="9987376833" y="166689"/>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wsDr>
</file>

<file path=xl/drawings/drawing62.xml><?xml version="1.0" encoding="utf-8"?>
<xdr:wsDr xmlns:xdr="http://schemas.openxmlformats.org/drawingml/2006/spreadsheetDrawing" xmlns:a="http://schemas.openxmlformats.org/drawingml/2006/main">
  <xdr:twoCellAnchor>
    <xdr:from>
      <xdr:col>0</xdr:col>
      <xdr:colOff>28578</xdr:colOff>
      <xdr:row>0</xdr:row>
      <xdr:rowOff>257175</xdr:rowOff>
    </xdr:from>
    <xdr:to>
      <xdr:col>0</xdr:col>
      <xdr:colOff>266703</xdr:colOff>
      <xdr:row>0</xdr:row>
      <xdr:rowOff>561978</xdr:rowOff>
    </xdr:to>
    <xdr:sp macro="" textlink="">
      <xdr:nvSpPr>
        <xdr:cNvPr id="3" name="Isosceles Triangle 2">
          <a:hlinkClick xmlns:r="http://schemas.openxmlformats.org/officeDocument/2006/relationships" r:id="rId1"/>
        </xdr:cNvPr>
        <xdr:cNvSpPr/>
      </xdr:nvSpPr>
      <xdr:spPr bwMode="auto">
        <a:xfrm rot="5400000">
          <a:off x="26808955458" y="290514"/>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0</xdr:col>
      <xdr:colOff>314328</xdr:colOff>
      <xdr:row>0</xdr:row>
      <xdr:rowOff>247650</xdr:rowOff>
    </xdr:from>
    <xdr:to>
      <xdr:col>1</xdr:col>
      <xdr:colOff>19053</xdr:colOff>
      <xdr:row>0</xdr:row>
      <xdr:rowOff>552453</xdr:rowOff>
    </xdr:to>
    <xdr:sp macro="" textlink="">
      <xdr:nvSpPr>
        <xdr:cNvPr id="4" name="Isosceles Triangle 3">
          <a:hlinkClick xmlns:r="http://schemas.openxmlformats.org/officeDocument/2006/relationships" r:id="rId2"/>
        </xdr:cNvPr>
        <xdr:cNvSpPr/>
      </xdr:nvSpPr>
      <xdr:spPr bwMode="auto">
        <a:xfrm rot="16200000">
          <a:off x="26808669708" y="280989"/>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wsDr>
</file>

<file path=xl/drawings/drawing63.xml><?xml version="1.0" encoding="utf-8"?>
<xdr:wsDr xmlns:xdr="http://schemas.openxmlformats.org/drawingml/2006/spreadsheetDrawing" xmlns:a="http://schemas.openxmlformats.org/drawingml/2006/main">
  <xdr:twoCellAnchor>
    <xdr:from>
      <xdr:col>0</xdr:col>
      <xdr:colOff>47628</xdr:colOff>
      <xdr:row>0</xdr:row>
      <xdr:rowOff>180975</xdr:rowOff>
    </xdr:from>
    <xdr:to>
      <xdr:col>0</xdr:col>
      <xdr:colOff>285753</xdr:colOff>
      <xdr:row>0</xdr:row>
      <xdr:rowOff>485778</xdr:rowOff>
    </xdr:to>
    <xdr:sp macro="" textlink="">
      <xdr:nvSpPr>
        <xdr:cNvPr id="3" name="Isosceles Triangle 2">
          <a:hlinkClick xmlns:r="http://schemas.openxmlformats.org/officeDocument/2006/relationships" r:id="rId1"/>
        </xdr:cNvPr>
        <xdr:cNvSpPr/>
      </xdr:nvSpPr>
      <xdr:spPr bwMode="auto">
        <a:xfrm rot="5400000">
          <a:off x="8746640808" y="214314"/>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0</xdr:col>
      <xdr:colOff>333378</xdr:colOff>
      <xdr:row>0</xdr:row>
      <xdr:rowOff>171450</xdr:rowOff>
    </xdr:from>
    <xdr:to>
      <xdr:col>0</xdr:col>
      <xdr:colOff>571503</xdr:colOff>
      <xdr:row>0</xdr:row>
      <xdr:rowOff>476253</xdr:rowOff>
    </xdr:to>
    <xdr:sp macro="" textlink="">
      <xdr:nvSpPr>
        <xdr:cNvPr id="4" name="Isosceles Triangle 3">
          <a:hlinkClick xmlns:r="http://schemas.openxmlformats.org/officeDocument/2006/relationships" r:id="rId2"/>
        </xdr:cNvPr>
        <xdr:cNvSpPr/>
      </xdr:nvSpPr>
      <xdr:spPr bwMode="auto">
        <a:xfrm rot="16200000">
          <a:off x="8746355058" y="204789"/>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wsDr>
</file>

<file path=xl/drawings/drawing64.xml><?xml version="1.0" encoding="utf-8"?>
<xdr:wsDr xmlns:xdr="http://schemas.openxmlformats.org/drawingml/2006/spreadsheetDrawing" xmlns:a="http://schemas.openxmlformats.org/drawingml/2006/main">
  <xdr:twoCellAnchor>
    <xdr:from>
      <xdr:col>6</xdr:col>
      <xdr:colOff>0</xdr:colOff>
      <xdr:row>0</xdr:row>
      <xdr:rowOff>95251</xdr:rowOff>
    </xdr:from>
    <xdr:to>
      <xdr:col>6</xdr:col>
      <xdr:colOff>0</xdr:colOff>
      <xdr:row>1</xdr:row>
      <xdr:rowOff>85728</xdr:rowOff>
    </xdr:to>
    <xdr:sp macro="" textlink="">
      <xdr:nvSpPr>
        <xdr:cNvPr id="2" name="Isosceles Triangle 1">
          <a:hlinkClick xmlns:r="http://schemas.openxmlformats.org/officeDocument/2006/relationships" r:id="rId1"/>
        </xdr:cNvPr>
        <xdr:cNvSpPr/>
      </xdr:nvSpPr>
      <xdr:spPr>
        <a:xfrm rot="5400000">
          <a:off x="23398148211" y="300040"/>
          <a:ext cx="409577" cy="0"/>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5</xdr:col>
      <xdr:colOff>399392</xdr:colOff>
      <xdr:row>0</xdr:row>
      <xdr:rowOff>114303</xdr:rowOff>
    </xdr:from>
    <xdr:to>
      <xdr:col>5</xdr:col>
      <xdr:colOff>638173</xdr:colOff>
      <xdr:row>0</xdr:row>
      <xdr:rowOff>409578</xdr:rowOff>
    </xdr:to>
    <xdr:sp macro="" textlink="">
      <xdr:nvSpPr>
        <xdr:cNvPr id="3" name="Isosceles Triangle 2">
          <a:hlinkClick xmlns:r="http://schemas.openxmlformats.org/officeDocument/2006/relationships" r:id="rId2"/>
        </xdr:cNvPr>
        <xdr:cNvSpPr/>
      </xdr:nvSpPr>
      <xdr:spPr>
        <a:xfrm rot="5400000">
          <a:off x="23399201055" y="142550"/>
          <a:ext cx="295275" cy="238781"/>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editAs="oneCell">
    <xdr:from>
      <xdr:col>5</xdr:col>
      <xdr:colOff>685800</xdr:colOff>
      <xdr:row>0</xdr:row>
      <xdr:rowOff>133350</xdr:rowOff>
    </xdr:from>
    <xdr:to>
      <xdr:col>5</xdr:col>
      <xdr:colOff>979204</xdr:colOff>
      <xdr:row>0</xdr:row>
      <xdr:rowOff>390525</xdr:rowOff>
    </xdr:to>
    <xdr:pic>
      <xdr:nvPicPr>
        <xdr:cNvPr id="4" name="Picture 3" descr="23061979.png">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23398888271" y="133350"/>
          <a:ext cx="293404" cy="257175"/>
        </a:xfrm>
        <a:prstGeom prst="rect">
          <a:avLst/>
        </a:prstGeom>
      </xdr:spPr>
    </xdr:pic>
    <xdr:clientData/>
  </xdr:twoCellAnchor>
</xdr:wsDr>
</file>

<file path=xl/drawings/drawing65.xml><?xml version="1.0" encoding="utf-8"?>
<xdr:wsDr xmlns:xdr="http://schemas.openxmlformats.org/drawingml/2006/spreadsheetDrawing" xmlns:a="http://schemas.openxmlformats.org/drawingml/2006/main">
  <xdr:twoCellAnchor>
    <xdr:from>
      <xdr:col>0</xdr:col>
      <xdr:colOff>200028</xdr:colOff>
      <xdr:row>0</xdr:row>
      <xdr:rowOff>180975</xdr:rowOff>
    </xdr:from>
    <xdr:to>
      <xdr:col>1</xdr:col>
      <xdr:colOff>3</xdr:colOff>
      <xdr:row>0</xdr:row>
      <xdr:rowOff>485778</xdr:rowOff>
    </xdr:to>
    <xdr:sp macro="" textlink="">
      <xdr:nvSpPr>
        <xdr:cNvPr id="2" name="Isosceles Triangle 1">
          <a:hlinkClick xmlns:r="http://schemas.openxmlformats.org/officeDocument/2006/relationships" r:id="rId1"/>
        </xdr:cNvPr>
        <xdr:cNvSpPr/>
      </xdr:nvSpPr>
      <xdr:spPr bwMode="auto">
        <a:xfrm rot="5400000">
          <a:off x="9987614958" y="214314"/>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1</xdr:col>
      <xdr:colOff>28578</xdr:colOff>
      <xdr:row>0</xdr:row>
      <xdr:rowOff>180975</xdr:rowOff>
    </xdr:from>
    <xdr:to>
      <xdr:col>1</xdr:col>
      <xdr:colOff>266703</xdr:colOff>
      <xdr:row>0</xdr:row>
      <xdr:rowOff>485778</xdr:rowOff>
    </xdr:to>
    <xdr:sp macro="" textlink="">
      <xdr:nvSpPr>
        <xdr:cNvPr id="3" name="Isosceles Triangle 2">
          <a:hlinkClick xmlns:r="http://schemas.openxmlformats.org/officeDocument/2006/relationships" r:id="rId2"/>
        </xdr:cNvPr>
        <xdr:cNvSpPr/>
      </xdr:nvSpPr>
      <xdr:spPr bwMode="auto">
        <a:xfrm rot="16200000">
          <a:off x="9987348258" y="214314"/>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wsDr>
</file>

<file path=xl/drawings/drawing66.xml><?xml version="1.0" encoding="utf-8"?>
<xdr:wsDr xmlns:xdr="http://schemas.openxmlformats.org/drawingml/2006/spreadsheetDrawing" xmlns:a="http://schemas.openxmlformats.org/drawingml/2006/main">
  <xdr:twoCellAnchor>
    <xdr:from>
      <xdr:col>0</xdr:col>
      <xdr:colOff>47628</xdr:colOff>
      <xdr:row>0</xdr:row>
      <xdr:rowOff>114300</xdr:rowOff>
    </xdr:from>
    <xdr:to>
      <xdr:col>0</xdr:col>
      <xdr:colOff>285753</xdr:colOff>
      <xdr:row>0</xdr:row>
      <xdr:rowOff>419103</xdr:rowOff>
    </xdr:to>
    <xdr:sp macro="" textlink="">
      <xdr:nvSpPr>
        <xdr:cNvPr id="3" name="Isosceles Triangle 2">
          <a:hlinkClick xmlns:r="http://schemas.openxmlformats.org/officeDocument/2006/relationships" r:id="rId1"/>
        </xdr:cNvPr>
        <xdr:cNvSpPr/>
      </xdr:nvSpPr>
      <xdr:spPr bwMode="auto">
        <a:xfrm rot="5400000">
          <a:off x="26809946058" y="147639"/>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0</xdr:col>
      <xdr:colOff>314328</xdr:colOff>
      <xdr:row>0</xdr:row>
      <xdr:rowOff>114300</xdr:rowOff>
    </xdr:from>
    <xdr:to>
      <xdr:col>1</xdr:col>
      <xdr:colOff>19053</xdr:colOff>
      <xdr:row>0</xdr:row>
      <xdr:rowOff>419103</xdr:rowOff>
    </xdr:to>
    <xdr:sp macro="" textlink="">
      <xdr:nvSpPr>
        <xdr:cNvPr id="4" name="Isosceles Triangle 3">
          <a:hlinkClick xmlns:r="http://schemas.openxmlformats.org/officeDocument/2006/relationships" r:id="rId2"/>
        </xdr:cNvPr>
        <xdr:cNvSpPr/>
      </xdr:nvSpPr>
      <xdr:spPr bwMode="auto">
        <a:xfrm rot="16200000">
          <a:off x="26809679358" y="147639"/>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wsDr>
</file>

<file path=xl/drawings/drawing67.xml><?xml version="1.0" encoding="utf-8"?>
<xdr:wsDr xmlns:xdr="http://schemas.openxmlformats.org/drawingml/2006/spreadsheetDrawing" xmlns:a="http://schemas.openxmlformats.org/drawingml/2006/main">
  <xdr:twoCellAnchor>
    <xdr:from>
      <xdr:col>0</xdr:col>
      <xdr:colOff>47628</xdr:colOff>
      <xdr:row>0</xdr:row>
      <xdr:rowOff>295275</xdr:rowOff>
    </xdr:from>
    <xdr:to>
      <xdr:col>0</xdr:col>
      <xdr:colOff>285753</xdr:colOff>
      <xdr:row>0</xdr:row>
      <xdr:rowOff>600078</xdr:rowOff>
    </xdr:to>
    <xdr:sp macro="" textlink="">
      <xdr:nvSpPr>
        <xdr:cNvPr id="3" name="Isosceles Triangle 2">
          <a:hlinkClick xmlns:r="http://schemas.openxmlformats.org/officeDocument/2006/relationships" r:id="rId1"/>
        </xdr:cNvPr>
        <xdr:cNvSpPr/>
      </xdr:nvSpPr>
      <xdr:spPr bwMode="auto">
        <a:xfrm rot="5400000">
          <a:off x="8744154783" y="328614"/>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0</xdr:col>
      <xdr:colOff>314328</xdr:colOff>
      <xdr:row>0</xdr:row>
      <xdr:rowOff>295275</xdr:rowOff>
    </xdr:from>
    <xdr:to>
      <xdr:col>0</xdr:col>
      <xdr:colOff>552453</xdr:colOff>
      <xdr:row>0</xdr:row>
      <xdr:rowOff>600078</xdr:rowOff>
    </xdr:to>
    <xdr:sp macro="" textlink="">
      <xdr:nvSpPr>
        <xdr:cNvPr id="4" name="Isosceles Triangle 3">
          <a:hlinkClick xmlns:r="http://schemas.openxmlformats.org/officeDocument/2006/relationships" r:id="rId2"/>
        </xdr:cNvPr>
        <xdr:cNvSpPr/>
      </xdr:nvSpPr>
      <xdr:spPr bwMode="auto">
        <a:xfrm rot="16200000">
          <a:off x="8743888083" y="328614"/>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wsDr>
</file>

<file path=xl/drawings/drawing68.xml><?xml version="1.0" encoding="utf-8"?>
<xdr:wsDr xmlns:xdr="http://schemas.openxmlformats.org/drawingml/2006/spreadsheetDrawing" xmlns:a="http://schemas.openxmlformats.org/drawingml/2006/main">
  <xdr:twoCellAnchor>
    <xdr:from>
      <xdr:col>0</xdr:col>
      <xdr:colOff>1</xdr:colOff>
      <xdr:row>0</xdr:row>
      <xdr:rowOff>123825</xdr:rowOff>
    </xdr:from>
    <xdr:to>
      <xdr:col>0</xdr:col>
      <xdr:colOff>238125</xdr:colOff>
      <xdr:row>0</xdr:row>
      <xdr:rowOff>428628</xdr:rowOff>
    </xdr:to>
    <xdr:sp macro="" textlink="">
      <xdr:nvSpPr>
        <xdr:cNvPr id="3" name="Isosceles Triangle 2">
          <a:hlinkClick xmlns:r="http://schemas.openxmlformats.org/officeDocument/2006/relationships" r:id="rId1"/>
        </xdr:cNvPr>
        <xdr:cNvSpPr/>
      </xdr:nvSpPr>
      <xdr:spPr bwMode="auto">
        <a:xfrm rot="5400000">
          <a:off x="8746688435" y="157165"/>
          <a:ext cx="304803" cy="238124"/>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0</xdr:col>
      <xdr:colOff>266700</xdr:colOff>
      <xdr:row>0</xdr:row>
      <xdr:rowOff>123825</xdr:rowOff>
    </xdr:from>
    <xdr:to>
      <xdr:col>0</xdr:col>
      <xdr:colOff>504825</xdr:colOff>
      <xdr:row>0</xdr:row>
      <xdr:rowOff>428628</xdr:rowOff>
    </xdr:to>
    <xdr:sp macro="" textlink="">
      <xdr:nvSpPr>
        <xdr:cNvPr id="4" name="Isosceles Triangle 3">
          <a:hlinkClick xmlns:r="http://schemas.openxmlformats.org/officeDocument/2006/relationships" r:id="rId2"/>
        </xdr:cNvPr>
        <xdr:cNvSpPr/>
      </xdr:nvSpPr>
      <xdr:spPr bwMode="auto">
        <a:xfrm rot="16200000">
          <a:off x="8746421736" y="157164"/>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wsDr>
</file>

<file path=xl/drawings/drawing69.xml><?xml version="1.0" encoding="utf-8"?>
<xdr:wsDr xmlns:xdr="http://schemas.openxmlformats.org/drawingml/2006/spreadsheetDrawing" xmlns:a="http://schemas.openxmlformats.org/drawingml/2006/main">
  <xdr:twoCellAnchor>
    <xdr:from>
      <xdr:col>7</xdr:col>
      <xdr:colOff>0</xdr:colOff>
      <xdr:row>0</xdr:row>
      <xdr:rowOff>95251</xdr:rowOff>
    </xdr:from>
    <xdr:to>
      <xdr:col>7</xdr:col>
      <xdr:colOff>0</xdr:colOff>
      <xdr:row>1</xdr:row>
      <xdr:rowOff>85728</xdr:rowOff>
    </xdr:to>
    <xdr:sp macro="" textlink="">
      <xdr:nvSpPr>
        <xdr:cNvPr id="2" name="Isosceles Triangle 1">
          <a:hlinkClick xmlns:r="http://schemas.openxmlformats.org/officeDocument/2006/relationships" r:id="rId1"/>
        </xdr:cNvPr>
        <xdr:cNvSpPr/>
      </xdr:nvSpPr>
      <xdr:spPr>
        <a:xfrm rot="5400000">
          <a:off x="23397781499" y="247652"/>
          <a:ext cx="304802" cy="0"/>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6</xdr:col>
      <xdr:colOff>304144</xdr:colOff>
      <xdr:row>0</xdr:row>
      <xdr:rowOff>142875</xdr:rowOff>
    </xdr:from>
    <xdr:to>
      <xdr:col>6</xdr:col>
      <xdr:colOff>542925</xdr:colOff>
      <xdr:row>1</xdr:row>
      <xdr:rowOff>123825</xdr:rowOff>
    </xdr:to>
    <xdr:sp macro="" textlink="">
      <xdr:nvSpPr>
        <xdr:cNvPr id="4" name="Isosceles Triangle 3">
          <a:hlinkClick xmlns:r="http://schemas.openxmlformats.org/officeDocument/2006/relationships" r:id="rId2"/>
        </xdr:cNvPr>
        <xdr:cNvSpPr/>
      </xdr:nvSpPr>
      <xdr:spPr>
        <a:xfrm rot="5400000">
          <a:off x="23398877203" y="171122"/>
          <a:ext cx="295275" cy="238781"/>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editAs="oneCell">
    <xdr:from>
      <xdr:col>6</xdr:col>
      <xdr:colOff>600075</xdr:colOff>
      <xdr:row>0</xdr:row>
      <xdr:rowOff>161925</xdr:rowOff>
    </xdr:from>
    <xdr:to>
      <xdr:col>6</xdr:col>
      <xdr:colOff>893479</xdr:colOff>
      <xdr:row>1</xdr:row>
      <xdr:rowOff>104775</xdr:rowOff>
    </xdr:to>
    <xdr:pic>
      <xdr:nvPicPr>
        <xdr:cNvPr id="5" name="Picture 4" descr="23061979.png">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23398554896" y="161925"/>
          <a:ext cx="293404" cy="2571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123828</xdr:colOff>
      <xdr:row>0</xdr:row>
      <xdr:rowOff>95250</xdr:rowOff>
    </xdr:from>
    <xdr:to>
      <xdr:col>0</xdr:col>
      <xdr:colOff>361953</xdr:colOff>
      <xdr:row>0</xdr:row>
      <xdr:rowOff>400053</xdr:rowOff>
    </xdr:to>
    <xdr:sp macro="" textlink="">
      <xdr:nvSpPr>
        <xdr:cNvPr id="2" name="Isosceles Triangle 1">
          <a:hlinkClick xmlns:r="http://schemas.openxmlformats.org/officeDocument/2006/relationships" r:id="rId1"/>
        </xdr:cNvPr>
        <xdr:cNvSpPr/>
      </xdr:nvSpPr>
      <xdr:spPr bwMode="auto">
        <a:xfrm rot="5400000">
          <a:off x="8742849858" y="128589"/>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wsDr>
</file>

<file path=xl/drawings/drawing70.xml><?xml version="1.0" encoding="utf-8"?>
<xdr:wsDr xmlns:xdr="http://schemas.openxmlformats.org/drawingml/2006/spreadsheetDrawing" xmlns:a="http://schemas.openxmlformats.org/drawingml/2006/main">
  <xdr:twoCellAnchor>
    <xdr:from>
      <xdr:col>0</xdr:col>
      <xdr:colOff>190503</xdr:colOff>
      <xdr:row>0</xdr:row>
      <xdr:rowOff>104775</xdr:rowOff>
    </xdr:from>
    <xdr:to>
      <xdr:col>0</xdr:col>
      <xdr:colOff>428628</xdr:colOff>
      <xdr:row>0</xdr:row>
      <xdr:rowOff>409578</xdr:rowOff>
    </xdr:to>
    <xdr:sp macro="" textlink="">
      <xdr:nvSpPr>
        <xdr:cNvPr id="2" name="Isosceles Triangle 1">
          <a:hlinkClick xmlns:r="http://schemas.openxmlformats.org/officeDocument/2006/relationships" r:id="rId1"/>
        </xdr:cNvPr>
        <xdr:cNvSpPr/>
      </xdr:nvSpPr>
      <xdr:spPr bwMode="auto">
        <a:xfrm rot="5400000">
          <a:off x="9987624483" y="138114"/>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1</xdr:col>
      <xdr:colOff>28578</xdr:colOff>
      <xdr:row>0</xdr:row>
      <xdr:rowOff>95250</xdr:rowOff>
    </xdr:from>
    <xdr:to>
      <xdr:col>1</xdr:col>
      <xdr:colOff>266703</xdr:colOff>
      <xdr:row>0</xdr:row>
      <xdr:rowOff>400053</xdr:rowOff>
    </xdr:to>
    <xdr:sp macro="" textlink="">
      <xdr:nvSpPr>
        <xdr:cNvPr id="3" name="Isosceles Triangle 2">
          <a:hlinkClick xmlns:r="http://schemas.openxmlformats.org/officeDocument/2006/relationships" r:id="rId2"/>
        </xdr:cNvPr>
        <xdr:cNvSpPr/>
      </xdr:nvSpPr>
      <xdr:spPr bwMode="auto">
        <a:xfrm rot="16200000">
          <a:off x="9987348258" y="128589"/>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wsDr>
</file>

<file path=xl/drawings/drawing71.xml><?xml version="1.0" encoding="utf-8"?>
<xdr:wsDr xmlns:xdr="http://schemas.openxmlformats.org/drawingml/2006/spreadsheetDrawing" xmlns:a="http://schemas.openxmlformats.org/drawingml/2006/main">
  <xdr:twoCellAnchor>
    <xdr:from>
      <xdr:col>0</xdr:col>
      <xdr:colOff>1</xdr:colOff>
      <xdr:row>0</xdr:row>
      <xdr:rowOff>171450</xdr:rowOff>
    </xdr:from>
    <xdr:to>
      <xdr:col>0</xdr:col>
      <xdr:colOff>238125</xdr:colOff>
      <xdr:row>0</xdr:row>
      <xdr:rowOff>476253</xdr:rowOff>
    </xdr:to>
    <xdr:sp macro="" textlink="">
      <xdr:nvSpPr>
        <xdr:cNvPr id="3" name="Isosceles Triangle 2">
          <a:hlinkClick xmlns:r="http://schemas.openxmlformats.org/officeDocument/2006/relationships" r:id="rId1"/>
        </xdr:cNvPr>
        <xdr:cNvSpPr/>
      </xdr:nvSpPr>
      <xdr:spPr bwMode="auto">
        <a:xfrm rot="5400000">
          <a:off x="26808984035" y="204790"/>
          <a:ext cx="304803" cy="238124"/>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0</xdr:col>
      <xdr:colOff>276225</xdr:colOff>
      <xdr:row>0</xdr:row>
      <xdr:rowOff>171450</xdr:rowOff>
    </xdr:from>
    <xdr:to>
      <xdr:col>0</xdr:col>
      <xdr:colOff>514350</xdr:colOff>
      <xdr:row>0</xdr:row>
      <xdr:rowOff>476253</xdr:rowOff>
    </xdr:to>
    <xdr:sp macro="" textlink="">
      <xdr:nvSpPr>
        <xdr:cNvPr id="4" name="Isosceles Triangle 3">
          <a:hlinkClick xmlns:r="http://schemas.openxmlformats.org/officeDocument/2006/relationships" r:id="rId2"/>
        </xdr:cNvPr>
        <xdr:cNvSpPr/>
      </xdr:nvSpPr>
      <xdr:spPr bwMode="auto">
        <a:xfrm rot="16200000">
          <a:off x="26808707811" y="204789"/>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wsDr>
</file>

<file path=xl/drawings/drawing72.xml><?xml version="1.0" encoding="utf-8"?>
<xdr:wsDr xmlns:xdr="http://schemas.openxmlformats.org/drawingml/2006/spreadsheetDrawing" xmlns:a="http://schemas.openxmlformats.org/drawingml/2006/main">
  <xdr:twoCellAnchor>
    <xdr:from>
      <xdr:col>0</xdr:col>
      <xdr:colOff>76203</xdr:colOff>
      <xdr:row>0</xdr:row>
      <xdr:rowOff>190500</xdr:rowOff>
    </xdr:from>
    <xdr:to>
      <xdr:col>0</xdr:col>
      <xdr:colOff>314328</xdr:colOff>
      <xdr:row>0</xdr:row>
      <xdr:rowOff>495303</xdr:rowOff>
    </xdr:to>
    <xdr:sp macro="" textlink="">
      <xdr:nvSpPr>
        <xdr:cNvPr id="3" name="Isosceles Triangle 2">
          <a:hlinkClick xmlns:r="http://schemas.openxmlformats.org/officeDocument/2006/relationships" r:id="rId1"/>
        </xdr:cNvPr>
        <xdr:cNvSpPr/>
      </xdr:nvSpPr>
      <xdr:spPr bwMode="auto">
        <a:xfrm rot="5400000">
          <a:off x="8746612233" y="223839"/>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0</xdr:col>
      <xdr:colOff>352428</xdr:colOff>
      <xdr:row>0</xdr:row>
      <xdr:rowOff>180975</xdr:rowOff>
    </xdr:from>
    <xdr:to>
      <xdr:col>0</xdr:col>
      <xdr:colOff>590553</xdr:colOff>
      <xdr:row>0</xdr:row>
      <xdr:rowOff>485778</xdr:rowOff>
    </xdr:to>
    <xdr:sp macro="" textlink="">
      <xdr:nvSpPr>
        <xdr:cNvPr id="4" name="Isosceles Triangle 3">
          <a:hlinkClick xmlns:r="http://schemas.openxmlformats.org/officeDocument/2006/relationships" r:id="rId2"/>
        </xdr:cNvPr>
        <xdr:cNvSpPr/>
      </xdr:nvSpPr>
      <xdr:spPr bwMode="auto">
        <a:xfrm rot="16200000">
          <a:off x="8746336008" y="214314"/>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wsDr>
</file>

<file path=xl/drawings/drawing73.xml><?xml version="1.0" encoding="utf-8"?>
<xdr:wsDr xmlns:xdr="http://schemas.openxmlformats.org/drawingml/2006/spreadsheetDrawing" xmlns:a="http://schemas.openxmlformats.org/drawingml/2006/main">
  <xdr:twoCellAnchor>
    <xdr:from>
      <xdr:col>6</xdr:col>
      <xdr:colOff>0</xdr:colOff>
      <xdr:row>0</xdr:row>
      <xdr:rowOff>95251</xdr:rowOff>
    </xdr:from>
    <xdr:to>
      <xdr:col>6</xdr:col>
      <xdr:colOff>0</xdr:colOff>
      <xdr:row>1</xdr:row>
      <xdr:rowOff>85728</xdr:rowOff>
    </xdr:to>
    <xdr:sp macro="" textlink="">
      <xdr:nvSpPr>
        <xdr:cNvPr id="2" name="Isosceles Triangle 1">
          <a:hlinkClick xmlns:r="http://schemas.openxmlformats.org/officeDocument/2006/relationships" r:id="rId1"/>
        </xdr:cNvPr>
        <xdr:cNvSpPr/>
      </xdr:nvSpPr>
      <xdr:spPr>
        <a:xfrm rot="5400000">
          <a:off x="23398976886" y="300040"/>
          <a:ext cx="409577" cy="0"/>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5</xdr:col>
      <xdr:colOff>152403</xdr:colOff>
      <xdr:row>0</xdr:row>
      <xdr:rowOff>161925</xdr:rowOff>
    </xdr:from>
    <xdr:to>
      <xdr:col>5</xdr:col>
      <xdr:colOff>390528</xdr:colOff>
      <xdr:row>1</xdr:row>
      <xdr:rowOff>47628</xdr:rowOff>
    </xdr:to>
    <xdr:sp macro="" textlink="">
      <xdr:nvSpPr>
        <xdr:cNvPr id="3" name="Isosceles Triangle 2">
          <a:hlinkClick xmlns:r="http://schemas.openxmlformats.org/officeDocument/2006/relationships" r:id="rId2"/>
        </xdr:cNvPr>
        <xdr:cNvSpPr/>
      </xdr:nvSpPr>
      <xdr:spPr bwMode="auto">
        <a:xfrm rot="5400000">
          <a:off x="23400272283" y="195264"/>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editAs="oneCell">
    <xdr:from>
      <xdr:col>5</xdr:col>
      <xdr:colOff>428625</xdr:colOff>
      <xdr:row>0</xdr:row>
      <xdr:rowOff>180975</xdr:rowOff>
    </xdr:from>
    <xdr:to>
      <xdr:col>5</xdr:col>
      <xdr:colOff>722029</xdr:colOff>
      <xdr:row>1</xdr:row>
      <xdr:rowOff>19050</xdr:rowOff>
    </xdr:to>
    <xdr:pic>
      <xdr:nvPicPr>
        <xdr:cNvPr id="4" name="Picture 3" descr="23061979.png">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23399974121" y="180975"/>
          <a:ext cx="293404" cy="2571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123828</xdr:colOff>
      <xdr:row>0</xdr:row>
      <xdr:rowOff>123825</xdr:rowOff>
    </xdr:from>
    <xdr:to>
      <xdr:col>0</xdr:col>
      <xdr:colOff>361953</xdr:colOff>
      <xdr:row>0</xdr:row>
      <xdr:rowOff>428628</xdr:rowOff>
    </xdr:to>
    <xdr:sp macro="" textlink="">
      <xdr:nvSpPr>
        <xdr:cNvPr id="2" name="Isosceles Triangle 1">
          <a:hlinkClick xmlns:r="http://schemas.openxmlformats.org/officeDocument/2006/relationships" r:id="rId1"/>
        </xdr:cNvPr>
        <xdr:cNvSpPr/>
      </xdr:nvSpPr>
      <xdr:spPr bwMode="auto">
        <a:xfrm rot="5400000">
          <a:off x="9987691158" y="157164"/>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0</xdr:col>
      <xdr:colOff>419103</xdr:colOff>
      <xdr:row>0</xdr:row>
      <xdr:rowOff>123825</xdr:rowOff>
    </xdr:from>
    <xdr:to>
      <xdr:col>1</xdr:col>
      <xdr:colOff>219078</xdr:colOff>
      <xdr:row>0</xdr:row>
      <xdr:rowOff>428628</xdr:rowOff>
    </xdr:to>
    <xdr:sp macro="" textlink="">
      <xdr:nvSpPr>
        <xdr:cNvPr id="3" name="Isosceles Triangle 2">
          <a:hlinkClick xmlns:r="http://schemas.openxmlformats.org/officeDocument/2006/relationships" r:id="rId2"/>
        </xdr:cNvPr>
        <xdr:cNvSpPr/>
      </xdr:nvSpPr>
      <xdr:spPr bwMode="auto">
        <a:xfrm rot="16200000">
          <a:off x="9987395883" y="157164"/>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114303</xdr:colOff>
      <xdr:row>0</xdr:row>
      <xdr:rowOff>200025</xdr:rowOff>
    </xdr:from>
    <xdr:to>
      <xdr:col>0</xdr:col>
      <xdr:colOff>352428</xdr:colOff>
      <xdr:row>0</xdr:row>
      <xdr:rowOff>504828</xdr:rowOff>
    </xdr:to>
    <xdr:sp macro="" textlink="">
      <xdr:nvSpPr>
        <xdr:cNvPr id="5" name="Isosceles Triangle 4">
          <a:hlinkClick xmlns:r="http://schemas.openxmlformats.org/officeDocument/2006/relationships" r:id="rId1"/>
        </xdr:cNvPr>
        <xdr:cNvSpPr/>
      </xdr:nvSpPr>
      <xdr:spPr bwMode="auto">
        <a:xfrm rot="5400000">
          <a:off x="26809917483" y="233364"/>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twoCellAnchor>
    <xdr:from>
      <xdr:col>0</xdr:col>
      <xdr:colOff>409578</xdr:colOff>
      <xdr:row>0</xdr:row>
      <xdr:rowOff>200025</xdr:rowOff>
    </xdr:from>
    <xdr:to>
      <xdr:col>1</xdr:col>
      <xdr:colOff>114303</xdr:colOff>
      <xdr:row>0</xdr:row>
      <xdr:rowOff>504828</xdr:rowOff>
    </xdr:to>
    <xdr:sp macro="" textlink="">
      <xdr:nvSpPr>
        <xdr:cNvPr id="6" name="Isosceles Triangle 5">
          <a:hlinkClick xmlns:r="http://schemas.openxmlformats.org/officeDocument/2006/relationships" r:id="rId2"/>
        </xdr:cNvPr>
        <xdr:cNvSpPr/>
      </xdr:nvSpPr>
      <xdr:spPr bwMode="auto">
        <a:xfrm rot="16200000">
          <a:off x="26809622208" y="233364"/>
          <a:ext cx="304803" cy="238125"/>
        </a:xfrm>
        <a:prstGeom prst="triangle">
          <a:avLst>
            <a:gd name="adj" fmla="val 45999"/>
          </a:avLst>
        </a:prstGeom>
        <a:solidFill>
          <a:schemeClr val="accent5">
            <a:lumMod val="20000"/>
            <a:lumOff val="80000"/>
          </a:schemeClr>
        </a:solidFill>
        <a:ln w="9525">
          <a:solidFill>
            <a:schemeClr val="accent6">
              <a:lumMod val="75000"/>
            </a:schemeClr>
          </a:solidFill>
        </a:ln>
        <a:effectLst>
          <a:glow rad="139700">
            <a:schemeClr val="accent3">
              <a:satMod val="175000"/>
              <a:alpha val="40000"/>
            </a:schemeClr>
          </a:glow>
          <a:innerShdw blurRad="114300">
            <a:prstClr val="black"/>
          </a:innerShdw>
          <a:softEdge rad="12700"/>
        </a:effectLst>
        <a:scene3d>
          <a:camera prst="orthographicFront">
            <a:rot lat="0" lon="0" rev="0"/>
          </a:camera>
          <a:lightRig rig="glow" dir="t">
            <a:rot lat="0" lon="0" rev="14100000"/>
          </a:lightRig>
        </a:scene3d>
        <a:sp3d prstMaterial="softEdge">
          <a:bevelT w="127000" prst="convex"/>
        </a:sp3d>
      </xdr:spPr>
      <xdr:style>
        <a:lnRef idx="2">
          <a:schemeClr val="accent1">
            <a:shade val="50000"/>
          </a:schemeClr>
        </a:lnRef>
        <a:fillRef idx="1">
          <a:schemeClr val="accent1"/>
        </a:fillRef>
        <a:effectRef idx="0">
          <a:schemeClr val="accent1"/>
        </a:effectRef>
        <a:fontRef idx="minor">
          <a:schemeClr val="lt1"/>
        </a:fontRef>
      </xdr:style>
      <xdr:txBody>
        <a:bodyPr rtlCol="1" anchor="ctr"/>
        <a:lstStyle/>
        <a:p>
          <a:pPr algn="r" rtl="1"/>
          <a:endParaRPr lang="fa-IR"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1601;&#1585;&#1580;&#1610;\Dr.%20Rasoli\&#1576;&#1585;&#1606;&#1575;&#1605;&#1607;%20&#1603;&#1606;&#1578;&#1585;&#1604;%20&#1575;&#1587;&#1578;&#1585;&#1575;&#1578;&#1688;&#1610;&#1603;%20&#1576;&#1610;&#1605;&#1575;&#1585;&#1610;%20&#1578;&#1576;%20&#1576;&#1585;&#1601;&#1603;&#1610;%20&#1583;&#1585;%20&#1575;&#1610;&#1585;&#1575;&#1606;%20&#1576;&#1585;&#1575;&#1587;&#1575;&#1587;%20&#1593;&#1608;&#1575;&#1605;&#1604;%20&#1582;&#1591;&#1585;.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Z:\&#1583;&#1601;&#1578;&#1585;%20&#1578;&#1604;&#1601;&#1610;&#1602;\&#1607;&#1586;&#1610;&#1606;&#1607;&#8204;&#1575;&#1610;\1391\&#1604;&#1575;&#1610;&#1581;&#1607;%20&#1576;&#1608;&#1583;&#1580;&#1607;%201392\&#1662;&#1610;&#1588;&#8204;&#1576;&#1610;&#1606;&#1610;%20&#1587;&#1602;&#1601;%20&#1575;&#1593;&#1578;&#1576;&#1575;&#1585;%201392\&#1570;&#1584;&#1585;\My%20Documents\&#1607;&#1586;&#1610;&#1606;&#1607;%2083\&#1605;&#1608;&#1575;&#1601;&#1602;&#1578;&#1606;&#1575;&#1605;&#1607;%2083\&#1588;&#1607;&#1585;%20&#1578;&#1607;&#1585;&#1575;&#16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Z:\(&#1576;&#1585;&#1606;&#1575;&#1605;&#1607;%20&#1588;&#1588;&#1605;%20(&#1608;&#1740;&#1585;&#1575;&#1740;&#1588;\&#160;\&#1583;&#1601;&#1578;&#1585;%20&#1578;&#1604;&#1601;&#1610;&#1602;\&#1607;&#1586;&#1610;&#1606;&#1607;&#8204;&#1575;&#1610;\1391\&#1604;&#1575;&#1610;&#1581;&#1607;%20&#1576;&#1608;&#1583;&#1580;&#1607;%201392\&#1662;&#1610;&#1588;&#8204;&#1576;&#1610;&#1606;&#1610;%20&#1587;&#1602;&#1601;%20&#1575;&#1593;&#1578;&#1576;&#1575;&#1585;%201392\&#1570;&#1584;&#1585;\My%20Documents\&#1607;&#1586;&#1610;&#1606;&#1607;%2083\&#1605;&#1608;&#1575;&#1601;&#1602;&#1578;&#1606;&#1575;&#1605;&#1607;%2083\&#1588;&#1607;&#1585;%20&#1578;&#1607;&#1585;&#1575;&#16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X:\&#1583;&#1601;&#1578;&#1585;%20&#1578;&#1604;&#1601;&#1610;&#1602;\&#1607;&#1586;&#1610;&#1606;&#1607;&#8204;&#1575;&#1610;\1391\&#1604;&#1575;&#1610;&#1581;&#1607;%20&#1576;&#1608;&#1583;&#1580;&#1607;%201392\&#1662;&#1610;&#1588;&#8204;&#1576;&#1610;&#1606;&#1610;%20&#1587;&#1602;&#1601;%20&#1575;&#1593;&#1578;&#1576;&#1575;&#1585;%201392\&#1570;&#1584;&#1585;\My%20Documents\&#1607;&#1586;&#1610;&#1606;&#1607;%2083\&#1605;&#1608;&#1575;&#1601;&#1602;&#1578;&#1606;&#1575;&#1605;&#1607;%2083\&#1588;&#1607;&#1585;%20&#1578;&#1607;&#1585;&#1575;&#16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Z:\(&#1576;&#1585;&#1606;&#1575;&#1605;&#1607;%20&#1588;&#1588;&#1605;%20(&#1588;&#1607;&#1585;&#1740;&#1608;&#1585;%2095\&#1576;&#1585;&#1606;&#1575;&#1605;&#1607;%20&#1588;&#1588;&#1605;%20&#1578;&#1608;&#1587;&#1593;&#1607;%20&#1587;&#1575;&#1586;&#1605;&#1575;&#1606;%20&#1583;&#1575;&#1605;&#1662;&#1586;&#1588;&#1705;&#1740;%20&#1705;&#1588;&#1608;&#1585;%20&#1575;&#1585;&#1583;&#1740;&#1576;&#1607;&#1588;&#1578;%2095\&#1575;&#1605;&#1705;&#1575;&#1606;%20&#1587;&#1606;&#1580;&#1740;%20&#1576;&#1740;&#1605;&#1575;&#1585;&#1740;%20&#1607;&#1575;&#1740;%20&#1605;&#1588;&#1578;&#1585;&#1705;%2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Z:\Users\DEAR-U~1\AppData\Local\Temp\Rar$DI42.512\&#1575;&#1605;&#1705;&#1575;&#1606;%20&#1587;&#1606;&#1580;&#1740;%20&#1576;&#1740;&#1605;&#1575;&#1585;&#1740;%20&#1607;&#1575;&#1740;%20&#1591;&#1740;&#1608;&#1585;%2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Z:\(&#1576;&#1585;&#1606;&#1575;&#1605;&#1607;%20&#1588;&#1588;&#1605;%20(&#1588;&#1607;&#1585;&#1740;&#1608;&#1585;%2095\&#1576;&#1585;&#1606;&#1575;&#1605;&#1607;%20&#1588;&#1588;&#1605;%20&#1578;&#1608;&#1587;&#1593;&#1607;%20&#1587;&#1575;&#1586;&#1605;&#1575;&#1606;%20&#1583;&#1575;&#1605;&#1662;&#1586;&#1588;&#1705;&#1740;%20&#1705;&#1588;&#1608;&#1585;%20&#1575;&#1585;&#1583;&#1740;&#1576;&#1607;&#1588;&#1578;%2095\&#1575;&#1605;&#1705;&#1575;&#1606;%20&#1587;&#1606;&#1580;&#1740;%20&#1576;&#1740;&#1605;&#1575;&#1585;&#1740;%20&#1607;&#1575;&#1740;%20&#1591;&#1740;&#1608;&#1585;%2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Z:\Users\DEAR-U~1\AppData\Local\Temp\Rar$DI11.640\&#1575;&#1605;&#1705;&#1575;&#1606;%20&#1587;&#1606;&#1580;&#1740;%20&#1576;&#1740;&#1605;&#1575;&#1585;&#1740;%20&#1607;&#1575;&#1740;%20&#1570;&#1576;&#1586;&#1740;&#1575;&#1606;%2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Z:\(&#1576;&#1585;&#1606;&#1575;&#1605;&#1607;%20&#1588;&#1588;&#1605;%20(&#1588;&#1607;&#1585;&#1740;&#1608;&#1585;%2095\&#1576;&#1585;&#1606;&#1575;&#1605;&#1607;%20&#1588;&#1588;&#1605;%20&#1578;&#1608;&#1587;&#1593;&#1607;%20&#1587;&#1575;&#1586;&#1605;&#1575;&#1606;%20&#1583;&#1575;&#1605;&#1662;&#1586;&#1588;&#1705;&#1740;%20&#1705;&#1588;&#1608;&#1585;%20&#1575;&#1585;&#1583;&#1740;&#1576;&#1607;&#1588;&#1578;%2095\&#1575;&#1605;&#1705;&#1575;&#1606;%20&#1587;&#1606;&#1580;&#1740;%20&#1576;&#1740;&#1605;&#1575;&#1585;&#1740;%20&#1607;&#1575;&#1740;%20&#1570;&#1576;&#1586;&#1740;&#1575;&#1606;%2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Z:\Users\DEAR-U~1\AppData\Local\Temp\Rar$DI68.528\&#1575;&#1605;&#1705;&#1575;&#1606;%20&#1587;&#1606;&#1580;&#1740;%20&#1576;&#1740;&#1605;&#1575;&#1585;&#1740;%20&#1607;&#1575;&#1740;%20&#1586;&#1606;&#1576;&#1608;&#1585;%2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Z:\(&#1576;&#1585;&#1606;&#1575;&#1605;&#1607;%20&#1588;&#1588;&#1605;%20(&#1588;&#1607;&#1585;&#1740;&#1608;&#1585;%2095\&#1576;&#1585;&#1606;&#1575;&#1605;&#1607;%20&#1588;&#1588;&#1605;%20&#1578;&#1608;&#1587;&#1593;&#1607;%20&#1587;&#1575;&#1586;&#1605;&#1575;&#1606;%20&#1583;&#1575;&#1605;&#1662;&#1586;&#1588;&#1705;&#1740;%20&#1705;&#1588;&#1608;&#1585;%20&#1575;&#1585;&#1583;&#1740;&#1576;&#1607;&#1588;&#1578;%2095\&#1575;&#1605;&#1705;&#1575;&#1606;%20&#1587;&#1606;&#1580;&#1740;%20&#1576;&#1740;&#1605;&#1575;&#1585;&#1740;%20&#1607;&#1575;&#1740;%20&#1586;&#1606;&#1576;&#1608;&#1585;%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1601;&#1585;&#1580;&#1610;\Dr.%20Rasoli\&#1583;&#1603;&#1578;&#1585;%20&#1585;&#1587;&#1608;&#1604;&#161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Z:\Users\DEAR-U~1\AppData\Local\Temp\Rar$DI04.648\&#1575;&#1605;&#1705;&#1575;&#1606;%20&#1587;&#1606;&#1580;&#1740;%20&#1576;&#1740;&#1605;&#1575;&#1585;&#1740;%20&#1607;&#1575;&#1740;%20&#1608;&#1575;&#1711;&#1740;&#1585;%2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Z:\(&#1576;&#1585;&#1606;&#1575;&#1605;&#1607;%20&#1588;&#1588;&#1605;%20(&#1588;&#1607;&#1585;&#1740;&#1608;&#1585;%2095\&#1576;&#1585;&#1606;&#1575;&#1605;&#1607;%20&#1588;&#1588;&#1605;%20&#1578;&#1608;&#1587;&#1593;&#1607;%20&#1587;&#1575;&#1586;&#1605;&#1575;&#1606;%20&#1583;&#1575;&#1605;&#1662;&#1586;&#1588;&#1705;&#1740;%20&#1705;&#1588;&#1608;&#1585;%20&#1575;&#1585;&#1583;&#1740;&#1576;&#1607;&#1588;&#1578;%2095\&#1575;&#1605;&#1705;&#1575;&#1606;%20&#1587;&#1606;&#1580;&#1740;%20&#1576;&#1740;&#1605;&#1575;&#1585;&#1740;%20&#1607;&#1575;&#1740;%20&#1608;&#1575;&#1711;&#1740;&#1585;%20.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Z:\Users\DEAR-U~1\AppData\Local\Temp\Rar$DI96.864\&#1575;&#1605;&#1705;&#1575;&#1606;%20&#1587;&#1606;&#1580;&#1740;%20&#1662;&#1575;&#1740;&#1588;%20&#1576;&#1575;&#1602;&#1740;&#1605;&#1575;&#1606;&#1583;&#1607;%20&#1607;&#1575;%2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Z:\(&#1576;&#1585;&#1606;&#1575;&#1605;&#1607;%20&#1588;&#1588;&#1605;%20(&#1588;&#1607;&#1585;&#1740;&#1608;&#1585;%2095\&#1576;&#1585;&#1606;&#1575;&#1605;&#1607;%20&#1588;&#1588;&#1605;%20&#1578;&#1608;&#1587;&#1593;&#1607;%20&#1587;&#1575;&#1586;&#1605;&#1575;&#1606;%20&#1583;&#1575;&#1605;&#1662;&#1586;&#1588;&#1705;&#1740;%20&#1705;&#1588;&#1608;&#1585;%20&#1575;&#1585;&#1583;&#1740;&#1576;&#1607;&#1588;&#1578;%2095\&#1575;&#1605;&#1705;&#1575;&#1606;%20&#1587;&#1606;&#1580;&#1740;%20&#1662;&#1575;&#1740;&#1588;%20&#1576;&#1575;&#1602;&#1740;&#1605;&#1575;&#1606;&#1583;&#1607;%20&#1607;&#1575;%20.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Z:\Users\DEAR-U~1\AppData\Local\Temp\Rar$DI36.713\&#1605;&#1606;&#1575;&#1576;&#1593;%20&#1605;&#1575;&#1604;&#1740;.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Z:\(&#1576;&#1585;&#1606;&#1575;&#1605;&#1607;%20&#1588;&#1588;&#1605;%20(&#1588;&#1607;&#1585;&#1740;&#1608;&#1585;%2095\&#1576;&#1585;&#1606;&#1575;&#1605;&#1607;%20&#1588;&#1588;&#1605;%20&#1578;&#1608;&#1587;&#1593;&#1607;%20&#1587;&#1575;&#1586;&#1605;&#1575;&#1606;%20&#1583;&#1575;&#1605;&#1662;&#1586;&#1588;&#1705;&#1740;%20&#1705;&#1588;&#1608;&#1585;%20&#1575;&#1585;&#1583;&#1740;&#1576;&#1607;&#1588;&#1578;%2095\&#1575;&#1605;&#1705;&#1575;&#1606;%20&#1587;&#1606;&#1580;&#1740;%20&#1578;&#1608;&#1587;&#1593;&#1607;%20&#1570;&#1586;&#1605;&#1575;&#1740;&#1588;&#1711;&#1575;&#1607;%20&#1607;&#1575;%20.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Z:\Users\DEAR-U~1\AppData\Local\Temp\Rar$DI48.861\&#1575;&#1605;&#1705;&#1575;&#1606;%20&#1587;&#1606;&#1580;&#1740;%20&#1606;&#1575;&#1608;&#1711;&#1575;&#1606;%20&#1581;&#1605;&#1604;%20&#1608;%20&#1606;&#1602;&#1604;%20.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Z:\(&#1576;&#1585;&#1606;&#1575;&#1605;&#1607;%20&#1588;&#1588;&#1605;%20(&#1588;&#1607;&#1585;&#1740;&#1608;&#1585;%2095\&#1576;&#1585;&#1606;&#1575;&#1605;&#1607;%20&#1588;&#1588;&#1605;%20&#1578;&#1608;&#1587;&#1593;&#1607;%20&#1587;&#1575;&#1586;&#1605;&#1575;&#1606;%20&#1583;&#1575;&#1605;&#1662;&#1586;&#1588;&#1705;&#1740;%20&#1705;&#1588;&#1608;&#1585;%20&#1575;&#1585;&#1583;&#1740;&#1576;&#1607;&#1588;&#1578;%2095\&#1575;&#1605;&#1705;&#1575;&#1606;%20&#1587;&#1606;&#1580;&#1740;%20&#1606;&#1575;&#1608;&#1711;&#1575;&#1606;%20&#1581;&#1605;&#1604;%20&#1608;%20&#1606;&#1602;&#1604;%20.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Z:\&#1576;&#1585;&#1606;&#1575;&#1605;&#1607;%20&#1588;&#1588;&#1605;%20&#1570;&#1576;&#1575;&#1606;%2095\&#1576;&#1585;&#1606;&#1575;&#1605;&#1607;%20&#1588;&#1588;&#1605;%20&#1578;&#1608;&#1587;&#1593;&#1607;%20&#1587;&#1575;&#1586;&#1605;&#1575;&#1606;%20&#1583;&#1575;&#1605;&#1662;&#1586;&#1588;&#1705;&#1740;%20&#1705;&#1588;&#1608;&#1585;%20&#1575;&#1585;&#1583;&#1740;&#1576;&#1607;&#1588;&#1578;%2095\&#1575;&#1605;&#1705;&#1575;&#1606;%20&#1587;&#1606;&#1580;&#1740;%20&#1606;&#1575;&#1608;&#1711;&#1575;&#1606;%20&#1581;&#1605;&#1604;%20&#1608;%20&#1606;&#1602;&#1604;%20.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Z:\Users\DEAR-U~1\AppData\Local\Temp\Rar$DI63.389\&#1575;&#1605;&#1705;&#1575;&#1606;%20&#1587;&#1606;&#1580;&#1740;%20&#1587;&#1575;&#1605;&#1575;&#1606;&#1607;%20&#1607;&#1575;&#1740;%20&#1576;&#1607;&#1583;&#1575;&#1588;&#1578;&#174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1576;&#1585;&#1606;&#1575;&#1605;&#1607;%20&#1588;&#1588;&#1605;%20(&#1608;&#1740;&#1585;&#1575;&#1740;&#1588;\&#160;\&#1601;&#1585;&#1580;&#1610;\Dr.%20Rasoli\&#1583;&#1603;&#1578;&#1585;%20&#1585;&#1587;&#1608;&#1604;&#1610;.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Z:\(&#1576;&#1585;&#1606;&#1575;&#1605;&#1607;%20&#1588;&#1588;&#1605;%20(&#1588;&#1607;&#1585;&#1740;&#1608;&#1585;%2095\&#1576;&#1585;&#1606;&#1575;&#1605;&#1607;%20&#1588;&#1588;&#1605;%20&#1578;&#1608;&#1587;&#1593;&#1607;%20&#1587;&#1575;&#1586;&#1605;&#1575;&#1606;%20&#1583;&#1575;&#1605;&#1662;&#1586;&#1588;&#1705;&#1740;%20&#1705;&#1588;&#1608;&#1585;%20&#1575;&#1585;&#1583;&#1740;&#1576;&#1607;&#1588;&#1578;%2095\&#1575;&#1605;&#1705;&#1575;&#1606;%20&#1587;&#1606;&#1580;&#1740;%20&#1587;&#1575;&#1605;&#1575;&#1606;&#1607;%20&#1607;&#1575;&#1740;%20&#1576;&#1607;&#1583;&#1575;&#1588;&#1578;&#1740;%20.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Z:\Users\DEAR-U~1\AppData\Local\Temp\Rar$DI14.909\&#1575;&#1605;&#1705;&#1575;&#1606;%20&#1587;&#1606;&#1580;&#1740;%20&#1589;&#1583;&#1608;&#1585;%20&#1705;&#1583;%20.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Z:\(&#1576;&#1585;&#1606;&#1575;&#1605;&#1607;%20&#1588;&#1588;&#1605;%20(&#1588;&#1607;&#1585;&#1740;&#1608;&#1585;%2095\&#1576;&#1585;&#1606;&#1575;&#1605;&#1607;%20&#1588;&#1588;&#1605;%20&#1578;&#1608;&#1587;&#1593;&#1607;%20&#1587;&#1575;&#1586;&#1605;&#1575;&#1606;%20&#1583;&#1575;&#1605;&#1662;&#1586;&#1588;&#1705;&#1740;%20&#1705;&#1588;&#1608;&#1585;%20&#1575;&#1585;&#1583;&#1740;&#1576;&#1607;&#1588;&#1578;%2095\&#1575;&#1605;&#1705;&#1575;&#1606;%20&#1587;&#1606;&#1580;&#1740;%20&#1589;&#1583;&#1608;&#1585;%20&#1705;&#1583;%20.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Z:\Users\DEAR-U~1\AppData\Local\Temp\Rar$DI43.957\&#1575;&#1605;&#1705;&#1575;&#1606;%20&#1587;&#1606;&#1580;&#1740;%20&#1585;&#1578;&#1576;&#1607;%20&#1576;&#1606;&#1583;&#1740;%20.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Z:\(&#1576;&#1585;&#1606;&#1575;&#1605;&#1607;%20&#1588;&#1588;&#1605;%20(&#1588;&#1607;&#1585;&#1740;&#1608;&#1585;%2095\&#1576;&#1585;&#1606;&#1575;&#1605;&#1607;%20&#1588;&#1588;&#1605;%20&#1578;&#1608;&#1587;&#1593;&#1607;%20&#1587;&#1575;&#1586;&#1605;&#1575;&#1606;%20&#1583;&#1575;&#1605;&#1662;&#1586;&#1588;&#1705;&#1740;%20&#1705;&#1588;&#1608;&#1585;%20&#1575;&#1585;&#1583;&#1740;&#1576;&#1607;&#1588;&#1578;%2095\&#1575;&#1605;&#1705;&#1575;&#1606;%20&#1587;&#1606;&#1580;&#1740;%20&#1585;&#1578;&#1576;&#1607;%20&#1576;&#1606;&#1583;&#1740;%20.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Z:\Users\DEAR-U~1\AppData\Local\Temp\Rar$DI97.502\&#1575;&#1605;&#1705;&#1575;&#1606;%20&#1587;&#1606;&#1580;&#1740;%20&#1570;&#1605;&#1608;&#1586;&#1588;%20&#1584;&#1740;&#1606;&#1601;&#1593;&#1575;&#1606;%20%20.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Z:\(&#1576;&#1585;&#1606;&#1575;&#1605;&#1607;%20&#1588;&#1588;&#1605;%20(&#1588;&#1607;&#1585;&#1740;&#1608;&#1585;%2095\&#1576;&#1585;&#1606;&#1575;&#1605;&#1607;%20&#1588;&#1588;&#1605;%20&#1578;&#1608;&#1587;&#1593;&#1607;%20&#1587;&#1575;&#1586;&#1605;&#1575;&#1606;%20&#1583;&#1575;&#1605;&#1662;&#1586;&#1588;&#1705;&#1740;%20&#1705;&#1588;&#1608;&#1585;%20&#1575;&#1585;&#1583;&#1740;&#1576;&#1607;&#1588;&#1578;%2095\&#1575;&#1605;&#1705;&#1575;&#1606;%20&#1587;&#1606;&#1580;&#1740;%20&#1570;&#1605;&#1608;&#1586;&#1588;%20&#1584;&#1740;&#1606;&#1601;&#1593;&#1575;&#1606;%20%20.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Z:\Users\DEAR-U~1\AppData\Local\Temp\Rar$DI63.117\&#1575;&#1605;&#1705;&#1575;&#1606;%20&#1587;&#1606;&#1580;&#1740;%20&#1575;&#1601;&#1586;&#1575;&#1740;&#1588;%20&#1578;&#1593;&#1583;&#1575;&#1583;%20&#1588;&#1575;&#1594;&#1604;&#1740;&#1606;%20&#1576;&#1582;&#1588;%20&#1594;&#1740;&#1585;%20&#1583;&#1608;&#1604;&#1578;&#1740;%20%20.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Z:\(&#1576;&#1585;&#1606;&#1575;&#1605;&#1607;%20&#1588;&#1588;&#1605;%20(&#1588;&#1607;&#1585;&#1740;&#1608;&#1585;%2095\&#1576;&#1585;&#1606;&#1575;&#1605;&#1607;%20&#1588;&#1588;&#1605;%20&#1578;&#1608;&#1587;&#1593;&#1607;%20&#1587;&#1575;&#1586;&#1605;&#1575;&#1606;%20&#1583;&#1575;&#1605;&#1662;&#1586;&#1588;&#1705;&#1740;%20&#1705;&#1588;&#1608;&#1585;%20&#1575;&#1585;&#1583;&#1740;&#1576;&#1607;&#1588;&#1578;%2095\&#1575;&#1605;&#1705;&#1575;&#1606;%20&#1587;&#1606;&#1580;&#1740;%20&#1575;&#1601;&#1586;&#1575;&#1740;&#1588;%20&#1578;&#1593;&#1583;&#1575;&#1583;%20&#1588;&#1575;&#1594;&#1604;&#1740;&#1606;%20&#1576;&#1582;&#1588;%20&#1594;&#1740;&#1585;%20&#1583;&#1608;&#1604;&#1578;&#1740;%20%20.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Z:\Users\DEAR-U~1\AppData\Local\Temp\Rar$DI02.749\&#1575;&#1605;&#1705;&#1575;&#1606;%20&#1587;&#1606;&#1580;&#1740;%20&#1601;&#1606;&#1575;&#1608;&#1585;&#1740;%20&#1607;&#1575;&#1740;%20&#1606;&#1608;&#1740;&#16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1601;&#1585;&#1580;&#1610;\Dr.%20Rasoli\&#1583;&#1603;&#1578;&#1585;%20&#1585;&#1587;&#1608;&#1604;&#1610;.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Z:\(&#1576;&#1585;&#1606;&#1575;&#1605;&#1607;%20&#1588;&#1588;&#1605;%20(&#1588;&#1607;&#1585;&#1740;&#1608;&#1585;%2095\&#1576;&#1585;&#1606;&#1575;&#1605;&#1607;%20&#1588;&#1588;&#1605;%20&#1578;&#1608;&#1587;&#1593;&#1607;%20&#1587;&#1575;&#1586;&#1605;&#1575;&#1606;%20&#1583;&#1575;&#1605;&#1662;&#1586;&#1588;&#1705;&#1740;%20&#1705;&#1588;&#1608;&#1585;%20&#1575;&#1585;&#1583;&#1740;&#1576;&#1607;&#1588;&#1578;%2095\&#1575;&#1605;&#1705;&#1575;&#1606;%20&#1587;&#1606;&#1580;&#1740;%20&#1601;&#1606;&#1575;&#1608;&#1585;&#1740;%20&#1607;&#1575;&#1740;%20&#1606;&#1608;&#1740;&#1606;%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1576;&#1585;&#1606;&#1575;&#1605;&#1607;%20&#1588;&#1588;&#1605;%20(&#1608;&#1740;&#1585;&#1575;&#1740;&#1588;\&#1576;&#1585;&#1606;&#1575;&#1605;&#1607;%20&#1607;&#1575;&#1740;%20&#1587;&#1575;&#1586;&#1605;&#1575;&#1606;%20&#1583;&#1575;&#1605;&#1662;&#1586;&#1588;&#1705;&#1740;\&#1576;&#1585;&#1606;&#1575;&#1605;&#1607;%20&#1607;&#1575;&#1740;%20&#1587;&#1575;&#1586;&#1605;&#1575;&#1606;%20&#1583;&#1575;&#1605;&#1662;&#1586;&#1588;&#1705;&#1740;\My%20Documents\&#1607;&#1586;&#1610;&#1606;&#1607;%2083\&#1605;&#1608;&#1575;&#1601;&#1602;&#1578;&#1606;&#1575;&#1605;&#1607;%2083\&#1588;&#1607;&#1585;%20&#1578;&#1607;&#1585;&#1575;&#16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Z:\My%20Documents\&#1607;&#1586;&#1610;&#1606;&#1607;%2083\&#1605;&#1608;&#1575;&#1601;&#1602;&#1578;&#1606;&#1575;&#1605;&#1607;%2083\&#1588;&#1607;&#1585;%20&#1578;&#1607;&#1585;&#1575;&#16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Z:\(&#1576;&#1585;&#1606;&#1575;&#1605;&#1607;%20&#1588;&#1588;&#1605;%20(&#1608;&#1740;&#1585;&#1575;&#1740;&#1588;\&#160;\My%20Documents\&#1607;&#1586;&#1610;&#1606;&#1607;%2083\&#1605;&#1608;&#1575;&#1601;&#1602;&#1578;&#1606;&#1575;&#1605;&#1607;%2083\&#1588;&#1607;&#1585;%20&#1578;&#1607;&#1585;&#1575;&#16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X:\My%20Documents\&#1607;&#1586;&#1610;&#1606;&#1607;%2083\&#1605;&#1608;&#1575;&#1601;&#1602;&#1578;&#1606;&#1575;&#1605;&#1607;%2083\&#1588;&#1607;&#1585;%20&#1578;&#1607;&#1585;&#1575;&#16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X:\Rakhshani-kambiz\&#1576;&#1585;&#1606;&#1575;&#1605;&#1607;%20&#1607;&#1575;&#1740;%20&#1587;&#1575;&#1586;&#1605;&#1575;&#1606;%20&#1583;&#1575;&#1605;&#1662;&#1586;&#1588;&#1705;&#1740;\&#1576;&#1585;&#1606;&#1575;&#1605;&#1607;%20&#1607;&#1575;&#1740;%20&#1587;&#1575;&#1586;&#1605;&#1575;&#1606;%20&#1583;&#1575;&#1605;&#1662;&#1586;&#1588;&#1705;&#1740;\&#1583;&#1601;&#1578;&#1585;%20&#1578;&#1604;&#1601;&#1610;&#1602;\&#1607;&#1586;&#1610;&#1606;&#1607;&#8204;&#1575;&#1610;\1391\&#1604;&#1575;&#1610;&#1581;&#1607;%20&#1576;&#1608;&#1583;&#1580;&#1607;%201392\&#1662;&#1610;&#1588;&#8204;&#1576;&#1610;&#1606;&#1610;%20&#1587;&#1602;&#1601;%20&#1575;&#1593;&#1578;&#1576;&#1575;&#1585;%201392\&#1570;&#1584;&#1585;\My%20Documents\&#1607;&#1586;&#1610;&#1606;&#1607;%2083\&#1605;&#1608;&#1575;&#1601;&#1602;&#1578;&#1606;&#1575;&#1605;&#1607;%2083\&#1588;&#1607;&#1585;%20&#1578;&#1607;&#1585;&#1575;&#16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gration"/>
      <sheetName val="Problem Statement"/>
      <sheetName val="Objectives"/>
      <sheetName val="PCWBS"/>
      <sheetName val="FWBS"/>
      <sheetName val="Primary"/>
      <sheetName val="Secondary"/>
      <sheetName val="Scope1"/>
      <sheetName val="Scope2"/>
      <sheetName val="Scope3"/>
      <sheetName val="Scope4"/>
      <sheetName val="Scope5"/>
      <sheetName val="Scope6"/>
      <sheetName val="Scope7"/>
      <sheetName val="Scope8"/>
      <sheetName val="Scope9"/>
      <sheetName val="Time"/>
      <sheetName val="Human1"/>
      <sheetName val="Human2"/>
      <sheetName val="Procurement1"/>
      <sheetName val="Procurement2"/>
      <sheetName val="Communication1"/>
      <sheetName val="Communication2"/>
      <sheetName val="Communication3"/>
      <sheetName val="Risk"/>
      <sheetName val="Standard1"/>
      <sheetName val="Standard2"/>
      <sheetName val="Standard3"/>
      <sheetName val="Standard4"/>
      <sheetName val="Standard5"/>
      <sheetName val="Standard6"/>
      <sheetName val="Cost1"/>
      <sheetName val="Cost2"/>
      <sheetName val="Cost3"/>
      <sheetName val="Cost4"/>
      <sheetName val="Cost5"/>
      <sheetName val="Provinces share rate"/>
      <sheetName val="Coefficients guide "/>
      <sheetName val="Login coefficients"/>
      <sheetName val="Login the salary"/>
      <sheetName val="Progress monitoring"/>
      <sheetName val="Outcome evalu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فرم شماره 2"/>
      <sheetName val=" فرم شماره 3"/>
      <sheetName val="فرم شماره 3.1"/>
      <sheetName val="فرم شماره 4 -الف"/>
      <sheetName val="فرم شماره 5"/>
    </sheetNames>
    <sheetDataSet>
      <sheetData sheetId="0"/>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فرم شماره 2"/>
      <sheetName val=" فرم شماره 3"/>
      <sheetName val="فرم شماره 3.1"/>
      <sheetName val="فرم شماره 4 -الف"/>
      <sheetName val="فرم شماره 5"/>
    </sheetNames>
    <sheetDataSet>
      <sheetData sheetId="0"/>
      <sheetData sheetId="1"/>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فرم شماره 2"/>
      <sheetName val=" فرم شماره 3"/>
      <sheetName val="فرم شماره 3.1"/>
      <sheetName val="فرم شماره 4 -الف"/>
      <sheetName val="فرم شماره 5"/>
    </sheetNames>
    <sheetDataSet>
      <sheetData sheetId="0"/>
      <sheetData sheetId="1"/>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روکش"/>
      <sheetName val="کمیت سنجه"/>
      <sheetName val="عملیات-فعالیت ها "/>
      <sheetName val="سیاست ها و برنامه ها "/>
      <sheetName val="خروجی1"/>
      <sheetName val="ورود اطلاعات پایه"/>
      <sheetName val="ورود اطلاعات خاص"/>
      <sheetName val="سنجه عملکرد"/>
      <sheetName val="امکان سنجی منابع انسانی"/>
      <sheetName val="امکان سنجی منابع انسانی (2)"/>
      <sheetName val="امکان سنجی مواد و تجهیزات"/>
      <sheetName val="قیمت تمام شده موضوعات"/>
      <sheetName val="قیمت تمام شده پروژه "/>
      <sheetName val="ارزیابی و پایش فرایندها"/>
      <sheetName val="شاخص عملیات"/>
      <sheetName val="نرخ تسهیم"/>
      <sheetName val="برش استانی"/>
      <sheetName val="جدول 3 منابع مالی "/>
    </sheetNames>
    <sheetDataSet>
      <sheetData sheetId="0">
        <row r="1">
          <cell r="A1" t="str">
            <v xml:space="preserve"> عنوان هدف کمی:</v>
          </cell>
          <cell r="B1" t="str">
            <v>کاهش بروز بیماری های مشترک</v>
          </cell>
        </row>
        <row r="2">
          <cell r="A2" t="str">
            <v>عنوان سنجه عملکرد:</v>
          </cell>
          <cell r="B2" t="str">
            <v>هزار نوبت مایه کوبی</v>
          </cell>
          <cell r="C2" t="str">
            <v>شاخص سنجه:</v>
          </cell>
          <cell r="D2">
            <v>8</v>
          </cell>
        </row>
      </sheetData>
      <sheetData sheetId="1" refreshError="1"/>
      <sheetData sheetId="2"/>
      <sheetData sheetId="3">
        <row r="1">
          <cell r="A1" t="str">
            <v xml:space="preserve"> اهداف کلی 1: تامین بهداشت و سلامت دام</v>
          </cell>
        </row>
        <row r="2">
          <cell r="A2" t="str">
            <v xml:space="preserve"> راهبرد 1-1: ارتقاء شاخص های کنترل بیماری های قابل انتقال بین حیوان و انسان</v>
          </cell>
        </row>
      </sheetData>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روکش"/>
      <sheetName val="کمیت سنجه"/>
      <sheetName val="عملیات-فعالیت ها "/>
      <sheetName val="سیاست ها و برنامه ها "/>
      <sheetName val="خروجی1"/>
      <sheetName val="ورود اطلاعات پایه"/>
      <sheetName val="ورود اطلاعات خاص"/>
      <sheetName val="سنجه عملکرد"/>
      <sheetName val="امکان سنجی منابع انسانی"/>
      <sheetName val="امکان سنجی منابع انسانی (2)"/>
      <sheetName val="امکان سنجی مواد و تجهیزات"/>
      <sheetName val="قیمت تمام شده موضوعات"/>
      <sheetName val="قیمت تمام شده پروژه "/>
      <sheetName val="ارزیابی و پایش فرایندها"/>
      <sheetName val="شاخص عملیات"/>
      <sheetName val="نرخ تسهیم"/>
      <sheetName val="برش استانی"/>
      <sheetName val="جدول 3 منابع مالی "/>
    </sheetNames>
    <sheetDataSet>
      <sheetData sheetId="0">
        <row r="1">
          <cell r="A1" t="str">
            <v xml:space="preserve"> عنوان هدف کمی:</v>
          </cell>
        </row>
      </sheetData>
      <sheetData sheetId="1" refreshError="1"/>
      <sheetData sheetId="2">
        <row r="73">
          <cell r="L73">
            <v>173388.74</v>
          </cell>
          <cell r="M73">
            <v>0</v>
          </cell>
        </row>
      </sheetData>
      <sheetData sheetId="3">
        <row r="1">
          <cell r="A1" t="str">
            <v xml:space="preserve"> اهداف کلی 1: تامین بهداشت و سلامت دام</v>
          </cell>
        </row>
      </sheetData>
      <sheetData sheetId="4" refreshError="1"/>
      <sheetData sheetId="5" refreshError="1"/>
      <sheetData sheetId="6" refreshError="1"/>
      <sheetData sheetId="7" refreshError="1"/>
      <sheetData sheetId="8" refreshError="1"/>
      <sheetData sheetId="9">
        <row r="2">
          <cell r="D2" t="str">
            <v>نیروی انسانی مورد نیاز بخش دولتی (نفر)</v>
          </cell>
        </row>
      </sheetData>
      <sheetData sheetId="10" refreshError="1"/>
      <sheetData sheetId="11" refreshError="1"/>
      <sheetData sheetId="12">
        <row r="4">
          <cell r="D4">
            <v>11750.351547064833</v>
          </cell>
        </row>
      </sheetData>
      <sheetData sheetId="13" refreshError="1"/>
      <sheetData sheetId="14" refreshError="1"/>
      <sheetData sheetId="15">
        <row r="3">
          <cell r="J3">
            <v>7.9453214323142157E-3</v>
          </cell>
        </row>
        <row r="4">
          <cell r="J4">
            <v>3.6945182242321017E-2</v>
          </cell>
        </row>
        <row r="5">
          <cell r="J5">
            <v>2.0596220804184266E-2</v>
          </cell>
        </row>
        <row r="6">
          <cell r="J6">
            <v>7.6657119477467089E-2</v>
          </cell>
        </row>
        <row r="7">
          <cell r="J7">
            <v>1.2541877190010797E-2</v>
          </cell>
        </row>
        <row r="8">
          <cell r="J8">
            <v>7.8606723804611912E-3</v>
          </cell>
        </row>
        <row r="9">
          <cell r="J9">
            <v>1.4466663899657816E-2</v>
          </cell>
        </row>
        <row r="10">
          <cell r="J10">
            <v>2.5286511124694946E-2</v>
          </cell>
        </row>
        <row r="11">
          <cell r="J11">
            <v>4.8568291403789765E-4</v>
          </cell>
        </row>
        <row r="12">
          <cell r="J12">
            <v>1.3239769082547941E-2</v>
          </cell>
        </row>
        <row r="13">
          <cell r="J13">
            <v>1.4133278575997969E-2</v>
          </cell>
        </row>
        <row r="14">
          <cell r="J14">
            <v>4.1001557265519739E-2</v>
          </cell>
        </row>
        <row r="15">
          <cell r="J15">
            <v>4.2374074529103536E-3</v>
          </cell>
        </row>
        <row r="16">
          <cell r="J16">
            <v>9.8767568569600256E-2</v>
          </cell>
        </row>
        <row r="17">
          <cell r="J17">
            <v>1.4765929657621619E-2</v>
          </cell>
        </row>
        <row r="18">
          <cell r="J18">
            <v>9.6221683158925861E-2</v>
          </cell>
        </row>
        <row r="19">
          <cell r="J19">
            <v>3.74996481816942E-3</v>
          </cell>
        </row>
        <row r="20">
          <cell r="J20">
            <v>3.365980514168973E-2</v>
          </cell>
        </row>
        <row r="21">
          <cell r="J21">
            <v>5.0666558021002284E-2</v>
          </cell>
        </row>
        <row r="22">
          <cell r="J22">
            <v>6.3566495768603196E-2</v>
          </cell>
        </row>
        <row r="23">
          <cell r="J23">
            <v>2.3758485237537992E-2</v>
          </cell>
        </row>
        <row r="24">
          <cell r="J24">
            <v>7.7472846670972135E-3</v>
          </cell>
        </row>
        <row r="25">
          <cell r="J25">
            <v>1.2374432419157842E-2</v>
          </cell>
        </row>
        <row r="26">
          <cell r="J26">
            <v>3.8183001143509668E-3</v>
          </cell>
        </row>
        <row r="27">
          <cell r="J27">
            <v>7.2597632019143835E-2</v>
          </cell>
        </row>
        <row r="28">
          <cell r="J28">
            <v>5.1849627453803671E-2</v>
          </cell>
        </row>
        <row r="29">
          <cell r="J29">
            <v>2.0474712602337668E-2</v>
          </cell>
        </row>
        <row r="30">
          <cell r="J30">
            <v>8.539647992404141E-2</v>
          </cell>
        </row>
        <row r="31">
          <cell r="J31">
            <v>3.5429918920129158E-2</v>
          </cell>
        </row>
        <row r="32">
          <cell r="J32">
            <v>6.5637582223237621E-4</v>
          </cell>
        </row>
        <row r="33">
          <cell r="J33">
            <v>2.0199345104782947E-2</v>
          </cell>
        </row>
        <row r="34">
          <cell r="J34">
            <v>2.8902136737647223E-2</v>
          </cell>
        </row>
      </sheetData>
      <sheetData sheetId="16" refreshError="1"/>
      <sheetData sheetId="17"/>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روکش"/>
      <sheetName val="کمیت سنجه"/>
      <sheetName val="عملیات-فعالیت ها "/>
      <sheetName val="سیاست ها و برنامه ها "/>
      <sheetName val="خروجی1"/>
      <sheetName val="ورود اطلاعات پایه"/>
      <sheetName val="ورود اطلاعات خاص"/>
      <sheetName val="سنجه عملکرد"/>
      <sheetName val="امکان سنجی منابع انسانی"/>
      <sheetName val="امکان سنجی منابع انسانی (2)"/>
      <sheetName val="امکان سنجی مواد و تجهیزات"/>
      <sheetName val="قیمت تمام شده موضوعات"/>
      <sheetName val="قیمت تمام شده پروژه "/>
      <sheetName val="ارزیابی و پایش فرایندها"/>
      <sheetName val="شاخص عملیات"/>
      <sheetName val="نرخ تسهیم"/>
      <sheetName val="برش استانی"/>
      <sheetName val="جدول 3 منابع مالی "/>
    </sheetNames>
    <sheetDataSet>
      <sheetData sheetId="0">
        <row r="1">
          <cell r="A1" t="str">
            <v xml:space="preserve"> عنوان هدف کمی:</v>
          </cell>
          <cell r="B1" t="str">
            <v>کاهش تلفات در گله های مرغ گوشتی و کاهش بروز بیماری ها در گله های صنعتی طیور</v>
          </cell>
        </row>
        <row r="2">
          <cell r="A2" t="str">
            <v>عنوان سنجه عملکرد:</v>
          </cell>
          <cell r="B2" t="str">
            <v xml:space="preserve"> بازدید/نمونه برداری</v>
          </cell>
          <cell r="C2" t="str">
            <v>شاخص سنجه:</v>
          </cell>
          <cell r="D2">
            <v>2</v>
          </cell>
        </row>
        <row r="3">
          <cell r="D3">
            <v>4.7794254307139475E-2</v>
          </cell>
        </row>
      </sheetData>
      <sheetData sheetId="1" refreshError="1"/>
      <sheetData sheetId="2"/>
      <sheetData sheetId="3">
        <row r="1">
          <cell r="A1" t="str">
            <v xml:space="preserve"> اهداف کلی 1: تامین بهداشت و سلامت دام</v>
          </cell>
        </row>
        <row r="2">
          <cell r="A2" t="str">
            <v xml:space="preserve">راهبرد 2-1: ارتقاء شاخص های کنترل بیماری های دام، طیور و آبزیان </v>
          </cell>
        </row>
      </sheetData>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روکش"/>
      <sheetName val="کمیت سنجه"/>
      <sheetName val="عملیات-فعالیت ها "/>
      <sheetName val="سیاست ها و برنامه ها  "/>
      <sheetName val="خروجی1"/>
      <sheetName val="ورود اطلاعات پایه"/>
      <sheetName val="ورود اطلاعات خاص"/>
      <sheetName val="سنجه عملکرد"/>
      <sheetName val="امکان سنجی منابع انسانی"/>
      <sheetName val="امکان سنجی منابع انسانی (2)"/>
      <sheetName val="امکان سنجی مواد و تجهیزات"/>
      <sheetName val="قیمت تمام شده موضوعات"/>
      <sheetName val="قیمت تمام شده پروژه "/>
      <sheetName val="ارزیابی و پایش فرایندها"/>
      <sheetName val="شاخص عملیات"/>
      <sheetName val="نرخ تسهیم"/>
      <sheetName val="برش استانی"/>
      <sheetName val="جدول 3 منابع مالی "/>
    </sheetNames>
    <sheetDataSet>
      <sheetData sheetId="0">
        <row r="1">
          <cell r="A1" t="str">
            <v xml:space="preserve"> عنوان هدف کمی:</v>
          </cell>
        </row>
      </sheetData>
      <sheetData sheetId="1" refreshError="1"/>
      <sheetData sheetId="2">
        <row r="59">
          <cell r="L59">
            <v>75340.994000000006</v>
          </cell>
          <cell r="M59">
            <v>0</v>
          </cell>
        </row>
      </sheetData>
      <sheetData sheetId="3">
        <row r="1">
          <cell r="A1" t="str">
            <v xml:space="preserve"> اهداف کلی 1: تامین بهداشت و سلامت دام</v>
          </cell>
        </row>
      </sheetData>
      <sheetData sheetId="4" refreshError="1"/>
      <sheetData sheetId="5" refreshError="1"/>
      <sheetData sheetId="6" refreshError="1"/>
      <sheetData sheetId="7" refreshError="1"/>
      <sheetData sheetId="8" refreshError="1"/>
      <sheetData sheetId="9">
        <row r="2">
          <cell r="D2" t="str">
            <v>نیروی انسانی مورد نیاز بخش دولتی (نفر)</v>
          </cell>
        </row>
      </sheetData>
      <sheetData sheetId="10" refreshError="1"/>
      <sheetData sheetId="11" refreshError="1"/>
      <sheetData sheetId="12">
        <row r="4">
          <cell r="D4">
            <v>5394.3031164263475</v>
          </cell>
        </row>
      </sheetData>
      <sheetData sheetId="13" refreshError="1"/>
      <sheetData sheetId="14" refreshError="1"/>
      <sheetData sheetId="15">
        <row r="3">
          <cell r="U3">
            <v>2.1704904303900097E-2</v>
          </cell>
        </row>
        <row r="4">
          <cell r="U4">
            <v>3.4309779481367479E-2</v>
          </cell>
        </row>
        <row r="5">
          <cell r="U5">
            <v>3.8554031566508093E-2</v>
          </cell>
        </row>
        <row r="6">
          <cell r="U6">
            <v>2.295534015692878E-2</v>
          </cell>
        </row>
        <row r="7">
          <cell r="U7">
            <v>8.2019790656839547E-3</v>
          </cell>
        </row>
        <row r="8">
          <cell r="U8">
            <v>1.7513441123053284E-2</v>
          </cell>
        </row>
        <row r="9">
          <cell r="U9">
            <v>0.10413982246618489</v>
          </cell>
        </row>
        <row r="10">
          <cell r="U10">
            <v>1.8834830193403013E-2</v>
          </cell>
        </row>
        <row r="11">
          <cell r="U11">
            <v>4.687551956472154E-3</v>
          </cell>
        </row>
        <row r="12">
          <cell r="U12">
            <v>3.7366797520779316E-2</v>
          </cell>
        </row>
        <row r="13">
          <cell r="U13">
            <v>8.9115219310324928E-3</v>
          </cell>
        </row>
        <row r="14">
          <cell r="U14">
            <v>1.8850953158450624E-2</v>
          </cell>
        </row>
        <row r="15">
          <cell r="U15">
            <v>1.2203220609051605E-2</v>
          </cell>
        </row>
        <row r="16">
          <cell r="U16">
            <v>9.2909109841892268E-2</v>
          </cell>
        </row>
        <row r="17">
          <cell r="U17">
            <v>1.6719611760381937E-2</v>
          </cell>
        </row>
        <row r="18">
          <cell r="U18">
            <v>7.2107642396172025E-3</v>
          </cell>
        </row>
        <row r="19">
          <cell r="U19">
            <v>5.3548510941466329E-2</v>
          </cell>
        </row>
        <row r="20">
          <cell r="U20">
            <v>1.6072303803353467E-2</v>
          </cell>
        </row>
        <row r="21">
          <cell r="U21">
            <v>1.1046490329830299E-2</v>
          </cell>
        </row>
        <row r="22">
          <cell r="U22">
            <v>4.4640295977907436E-3</v>
          </cell>
        </row>
        <row r="23">
          <cell r="U23">
            <v>3.5956176898583353E-2</v>
          </cell>
        </row>
        <row r="24">
          <cell r="U24">
            <v>7.0201503133586968E-3</v>
          </cell>
        </row>
        <row r="25">
          <cell r="U25">
            <v>2.4828023644847985E-2</v>
          </cell>
        </row>
        <row r="26">
          <cell r="U26">
            <v>2.3632935855374598E-2</v>
          </cell>
        </row>
        <row r="27">
          <cell r="U27">
            <v>2.6895911949317126E-2</v>
          </cell>
        </row>
        <row r="28">
          <cell r="U28">
            <v>6.2440520479086561E-2</v>
          </cell>
        </row>
        <row r="29">
          <cell r="U29">
            <v>2.8750245302709497E-2</v>
          </cell>
        </row>
        <row r="30">
          <cell r="U30">
            <v>0.16295067790515655</v>
          </cell>
        </row>
        <row r="31">
          <cell r="U31">
            <v>2.4746638531732441E-3</v>
          </cell>
        </row>
        <row r="32">
          <cell r="U32">
            <v>4.1666518192184698E-2</v>
          </cell>
        </row>
        <row r="33">
          <cell r="U33">
            <v>2.1233936403284734E-2</v>
          </cell>
        </row>
        <row r="34">
          <cell r="U34">
            <v>1.194524515577489E-2</v>
          </cell>
        </row>
      </sheetData>
      <sheetData sheetId="16" refreshError="1"/>
      <sheetData sheetId="17"/>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روکش"/>
      <sheetName val="کمیت سنجه"/>
      <sheetName val="عملیات-فعالیت ها "/>
      <sheetName val="سیاست ها و برنامه ها  "/>
      <sheetName val="خروجی1"/>
      <sheetName val="ورود اطلاعات پایه"/>
      <sheetName val="ورود اطلاعات خاص"/>
      <sheetName val="سنجه عملکرد"/>
      <sheetName val="امکان سنجی منابع انسانی"/>
      <sheetName val="امکان سنجی منابع انسانی (2)"/>
      <sheetName val="امکان سنجی مواد و تجهیزات"/>
      <sheetName val="قیمت تمام شده موضوعات"/>
      <sheetName val="قیمت تمام شده پروژه "/>
      <sheetName val="ارزیابی و پایش فرایندها"/>
      <sheetName val="شاخص عملیات"/>
      <sheetName val="نرخ تسهیم"/>
      <sheetName val="برش استانی"/>
      <sheetName val="جدول 3 منابع مالی "/>
    </sheetNames>
    <sheetDataSet>
      <sheetData sheetId="0">
        <row r="1">
          <cell r="A1" t="str">
            <v xml:space="preserve"> عنوان هدف کمی:</v>
          </cell>
          <cell r="B1" t="str">
            <v>کاهش بروز بیماری ها در مزارع پرورشی آبزیان و کاهش تلفات در مزارع پرورش آبزیان</v>
          </cell>
        </row>
        <row r="2">
          <cell r="A2" t="str">
            <v>عنوان سنجه عملکرد:</v>
          </cell>
          <cell r="B2" t="str">
            <v xml:space="preserve"> بازدید نمونه برداری</v>
          </cell>
          <cell r="C2" t="str">
            <v>شاخص سنجه:</v>
          </cell>
          <cell r="D2">
            <v>2</v>
          </cell>
        </row>
        <row r="3">
          <cell r="D3">
            <v>0.99999999999999989</v>
          </cell>
        </row>
      </sheetData>
      <sheetData sheetId="1" refreshError="1"/>
      <sheetData sheetId="2"/>
      <sheetData sheetId="3">
        <row r="1">
          <cell r="A1" t="str">
            <v xml:space="preserve"> اهداف کلی 1: تامین بهداشت و سلامت دام</v>
          </cell>
        </row>
        <row r="2">
          <cell r="A2" t="str">
            <v xml:space="preserve">راهبرد 2-1: ارتقاء شاخص های کنترل بیماری های دام، طیور و آبزیان </v>
          </cell>
        </row>
      </sheetData>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روکش"/>
      <sheetName val="کمیت سنجه"/>
      <sheetName val="عملیات-فعالیت ها "/>
      <sheetName val="سیاست ها و برنامه ها "/>
      <sheetName val="خروجی1"/>
      <sheetName val="ورود اطلاعات پایه"/>
      <sheetName val="ورود اطلاعات خاص"/>
      <sheetName val="سنجه عملکرد"/>
      <sheetName val="امکان سنجی منابع انسانی"/>
      <sheetName val="امکان سنجی منابع انسانی (2)"/>
      <sheetName val="امکان سنجی مواد و تجهیزات"/>
      <sheetName val="قیمت تمام شده موضوعات"/>
      <sheetName val="قیمت تمام شده پروژه "/>
      <sheetName val="ارزیابی و پایش فرایندها"/>
      <sheetName val="شاخص عملیات"/>
      <sheetName val="نرخ تسهیم"/>
      <sheetName val="برش استانی"/>
      <sheetName val="جدول 3 منابع مالی "/>
    </sheetNames>
    <sheetDataSet>
      <sheetData sheetId="0">
        <row r="1">
          <cell r="A1" t="str">
            <v xml:space="preserve"> عنوان هدف کمی:</v>
          </cell>
        </row>
      </sheetData>
      <sheetData sheetId="1" refreshError="1"/>
      <sheetData sheetId="2">
        <row r="15">
          <cell r="L15">
            <v>13225</v>
          </cell>
          <cell r="M15">
            <v>0</v>
          </cell>
        </row>
      </sheetData>
      <sheetData sheetId="3">
        <row r="1">
          <cell r="A1" t="str">
            <v>اهداف کلی 1: تامین بهداشت و سلامت دام</v>
          </cell>
        </row>
      </sheetData>
      <sheetData sheetId="4" refreshError="1"/>
      <sheetData sheetId="5" refreshError="1"/>
      <sheetData sheetId="6" refreshError="1"/>
      <sheetData sheetId="7" refreshError="1"/>
      <sheetData sheetId="8" refreshError="1"/>
      <sheetData sheetId="9">
        <row r="2">
          <cell r="D2" t="str">
            <v>نیروی انسانی مورد نیاز بخش دولتی (نفر)</v>
          </cell>
        </row>
      </sheetData>
      <sheetData sheetId="10" refreshError="1"/>
      <sheetData sheetId="11" refreshError="1"/>
      <sheetData sheetId="12">
        <row r="4">
          <cell r="D4">
            <v>999.31868335702234</v>
          </cell>
        </row>
      </sheetData>
      <sheetData sheetId="13" refreshError="1"/>
      <sheetData sheetId="14" refreshError="1"/>
      <sheetData sheetId="15">
        <row r="3">
          <cell r="F3">
            <v>0.14073224597877915</v>
          </cell>
        </row>
        <row r="4">
          <cell r="F4">
            <v>0.13936389210025119</v>
          </cell>
        </row>
        <row r="5">
          <cell r="F5">
            <v>4.8661604430873161E-2</v>
          </cell>
        </row>
        <row r="6">
          <cell r="F6">
            <v>0.11361493204083106</v>
          </cell>
        </row>
        <row r="7">
          <cell r="F7">
            <v>8.4341946278845732E-3</v>
          </cell>
        </row>
        <row r="8">
          <cell r="F8">
            <v>9.8757203560955638E-3</v>
          </cell>
        </row>
        <row r="9">
          <cell r="F9">
            <v>3.6810616036002902E-3</v>
          </cell>
        </row>
        <row r="10">
          <cell r="F10">
            <v>1.1653570062603924E-2</v>
          </cell>
        </row>
        <row r="11">
          <cell r="F11">
            <v>4.5638655587975476E-3</v>
          </cell>
        </row>
        <row r="12">
          <cell r="F12">
            <v>2.4479129395691947E-2</v>
          </cell>
        </row>
        <row r="13">
          <cell r="F13">
            <v>2.9491881473256462E-3</v>
          </cell>
        </row>
        <row r="14">
          <cell r="F14">
            <v>3.1297654871659954E-2</v>
          </cell>
        </row>
        <row r="15">
          <cell r="F15">
            <v>1.5978798076903705E-2</v>
          </cell>
        </row>
        <row r="16">
          <cell r="F16">
            <v>2.7526220920039469E-2</v>
          </cell>
        </row>
        <row r="17">
          <cell r="F17">
            <v>1.4550877787917978E-2</v>
          </cell>
        </row>
        <row r="18">
          <cell r="F18">
            <v>6.5110859381215325E-3</v>
          </cell>
        </row>
        <row r="19">
          <cell r="F19">
            <v>4.3807034954232882E-4</v>
          </cell>
        </row>
        <row r="20">
          <cell r="F20">
            <v>8.406351514900573E-2</v>
          </cell>
        </row>
        <row r="21">
          <cell r="F21">
            <v>1.2616178131707904E-2</v>
          </cell>
        </row>
        <row r="22">
          <cell r="F22">
            <v>2.8302412777435129E-3</v>
          </cell>
        </row>
        <row r="23">
          <cell r="F23">
            <v>2.4263332873310395E-2</v>
          </cell>
        </row>
        <row r="24">
          <cell r="F24">
            <v>1.6324357638092032E-2</v>
          </cell>
        </row>
        <row r="25">
          <cell r="F25">
            <v>3.2862249390676217E-2</v>
          </cell>
        </row>
        <row r="26">
          <cell r="F26">
            <v>1.434512263753867E-2</v>
          </cell>
        </row>
        <row r="27">
          <cell r="F27">
            <v>1.7188566459951801E-2</v>
          </cell>
        </row>
        <row r="28">
          <cell r="F28">
            <v>4.2956555539153951E-2</v>
          </cell>
        </row>
        <row r="29">
          <cell r="F29">
            <v>2.8462082989026357E-2</v>
          </cell>
        </row>
        <row r="30">
          <cell r="F30">
            <v>6.4899959577279315E-2</v>
          </cell>
        </row>
        <row r="31">
          <cell r="F31">
            <v>1.3696555378615975E-2</v>
          </cell>
        </row>
        <row r="32">
          <cell r="F32">
            <v>2.1040393371368022E-3</v>
          </cell>
        </row>
        <row r="33">
          <cell r="F33">
            <v>3.0664459589629579E-2</v>
          </cell>
        </row>
        <row r="34">
          <cell r="F34">
            <v>8.4106717842126512E-3</v>
          </cell>
        </row>
      </sheetData>
      <sheetData sheetId="16" refreshError="1"/>
      <sheetData sheetId="17"/>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روکش"/>
      <sheetName val="کمیت سنجه"/>
      <sheetName val="عملیات-فعالیت ها "/>
      <sheetName val="سیاست ها و برنامه ها "/>
      <sheetName val="خروجی1"/>
      <sheetName val="ورود اطلاعات پایه"/>
      <sheetName val="ورود اطلاعات خاص"/>
      <sheetName val="سنجه عملکرد"/>
      <sheetName val="امکان سنجی منابع انسانی"/>
      <sheetName val="امکان سنجی منابع انسانی (2)"/>
      <sheetName val="امکان سنجی مواد و تجهیزات"/>
      <sheetName val="قیمت تمام شده موضوعات"/>
      <sheetName val="قیمت تمام شده پروژه "/>
      <sheetName val="ارزیابی و پایش فرایندها"/>
      <sheetName val="شاخص عملیات"/>
      <sheetName val="نرخ تسهیم"/>
      <sheetName val="برش استانی"/>
      <sheetName val="جدول 3 منابع مالی "/>
    </sheetNames>
    <sheetDataSet>
      <sheetData sheetId="0">
        <row r="1">
          <cell r="A1" t="str">
            <v xml:space="preserve"> عنوان هدف کمی:</v>
          </cell>
          <cell r="B1" t="str">
            <v>کاهش بروز بیماری در کلنی های زنبور عسل  و کاهش بروز بیماری در کرم ابریشم</v>
          </cell>
        </row>
        <row r="2">
          <cell r="A2" t="str">
            <v>عنوان سنجه عملکرد:</v>
          </cell>
          <cell r="B2" t="str">
            <v xml:space="preserve"> بازدید/ نمونه برداری</v>
          </cell>
          <cell r="C2" t="str">
            <v>شاخص سنجه:</v>
          </cell>
          <cell r="D2">
            <v>2</v>
          </cell>
        </row>
        <row r="3">
          <cell r="D3">
            <v>0.99999999999999978</v>
          </cell>
        </row>
      </sheetData>
      <sheetData sheetId="1" refreshError="1"/>
      <sheetData sheetId="2"/>
      <sheetData sheetId="3">
        <row r="1">
          <cell r="A1" t="str">
            <v>اهداف کلی 1: تامین بهداشت و سلامت دام</v>
          </cell>
        </row>
        <row r="2">
          <cell r="A2" t="str">
            <v xml:space="preserve">راهبرد 2-1: ارتقاء شاخص های کنترل بیماری های دام، طیور و آبزیان </v>
          </cell>
        </row>
      </sheetData>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gration"/>
      <sheetName val="Problem Statement"/>
      <sheetName val="Objectives"/>
      <sheetName val="PCWBS1"/>
      <sheetName val="PCWBS2"/>
      <sheetName val="PCWBS3"/>
      <sheetName val="PCWBS4"/>
      <sheetName val="PCWBS5"/>
      <sheetName val="PCWBS6"/>
      <sheetName val="PCWBS7"/>
      <sheetName val="PCWBS8"/>
      <sheetName val="PCWBS9"/>
      <sheetName val="PCWBS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روکش"/>
      <sheetName val="کمیت سنجه"/>
      <sheetName val="عملیات-فعالیت ها "/>
      <sheetName val="سیاست ها و برنامه ها "/>
      <sheetName val="خروجی1"/>
      <sheetName val="ورود اطلاعات پایه"/>
      <sheetName val="ورود اطلاعات خاص"/>
      <sheetName val="سنجه عملکرد"/>
      <sheetName val="امکان سنجی منابع انسانی"/>
      <sheetName val="امکان سنجی منابع انسانی (2)"/>
      <sheetName val="امکان سنجی مواد و تجهیزات"/>
      <sheetName val="قیمت تمام شده موضوعات"/>
      <sheetName val="قیمت تمام شده پروژه "/>
      <sheetName val="ارزیابی و پایش فرایندها"/>
      <sheetName val="شاخص عملیات"/>
      <sheetName val="نرخ تسهیم"/>
      <sheetName val="برش استانی"/>
      <sheetName val="جدول 3 منابع مالی "/>
    </sheetNames>
    <sheetDataSet>
      <sheetData sheetId="0">
        <row r="1">
          <cell r="A1" t="str">
            <v xml:space="preserve"> عنوان هدف کمی:</v>
          </cell>
        </row>
      </sheetData>
      <sheetData sheetId="1" refreshError="1"/>
      <sheetData sheetId="2">
        <row r="65">
          <cell r="L65">
            <v>116682.773662375</v>
          </cell>
          <cell r="M65">
            <v>144350.90788499999</v>
          </cell>
        </row>
      </sheetData>
      <sheetData sheetId="3">
        <row r="1">
          <cell r="A1" t="str">
            <v xml:space="preserve"> اهداف کلی 1: تامین بهداشت و سلامت دام</v>
          </cell>
        </row>
      </sheetData>
      <sheetData sheetId="4" refreshError="1"/>
      <sheetData sheetId="5" refreshError="1"/>
      <sheetData sheetId="6" refreshError="1"/>
      <sheetData sheetId="7" refreshError="1"/>
      <sheetData sheetId="8" refreshError="1"/>
      <sheetData sheetId="9">
        <row r="2">
          <cell r="D2" t="str">
            <v>نیروی انسانی مورد نیاز بخش دولتی (نفر)</v>
          </cell>
        </row>
      </sheetData>
      <sheetData sheetId="10" refreshError="1"/>
      <sheetData sheetId="11" refreshError="1"/>
      <sheetData sheetId="12">
        <row r="4">
          <cell r="D4">
            <v>22439.126016160182</v>
          </cell>
        </row>
      </sheetData>
      <sheetData sheetId="13" refreshError="1"/>
      <sheetData sheetId="14" refreshError="1"/>
      <sheetData sheetId="15">
        <row r="3">
          <cell r="P3">
            <v>5.2417605114919101E-2</v>
          </cell>
        </row>
        <row r="4">
          <cell r="P4">
            <v>5.2142941833809096E-2</v>
          </cell>
        </row>
        <row r="5">
          <cell r="P5">
            <v>3.5234808090679123E-2</v>
          </cell>
        </row>
        <row r="6">
          <cell r="P6">
            <v>4.6671549924892343E-2</v>
          </cell>
        </row>
        <row r="7">
          <cell r="P7">
            <v>1.6044345816191279E-2</v>
          </cell>
        </row>
        <row r="8">
          <cell r="P8">
            <v>2.2461134990978036E-2</v>
          </cell>
        </row>
        <row r="9">
          <cell r="P9">
            <v>8.6313758915095868E-3</v>
          </cell>
        </row>
        <row r="10">
          <cell r="P10">
            <v>5.2194061218435991E-2</v>
          </cell>
        </row>
        <row r="11">
          <cell r="P11">
            <v>2.0596374429810035E-2</v>
          </cell>
        </row>
        <row r="12">
          <cell r="P12">
            <v>3.4059842664485418E-2</v>
          </cell>
        </row>
        <row r="13">
          <cell r="P13">
            <v>1.7587104918287418E-2</v>
          </cell>
        </row>
        <row r="14">
          <cell r="P14">
            <v>0.10320710410415067</v>
          </cell>
        </row>
        <row r="15">
          <cell r="P15">
            <v>2.7733750000063246E-2</v>
          </cell>
        </row>
        <row r="16">
          <cell r="P16">
            <v>3.7194046368876708E-2</v>
          </cell>
        </row>
        <row r="17">
          <cell r="P17">
            <v>1.7156852701558447E-2</v>
          </cell>
        </row>
        <row r="18">
          <cell r="P18">
            <v>2.4058904791318628E-2</v>
          </cell>
        </row>
        <row r="19">
          <cell r="P19">
            <v>1.2833819394523716E-2</v>
          </cell>
        </row>
        <row r="20">
          <cell r="P20">
            <v>8.4945446796143478E-2</v>
          </cell>
        </row>
        <row r="21">
          <cell r="P21">
            <v>2.3258792905394812E-2</v>
          </cell>
        </row>
        <row r="22">
          <cell r="P22">
            <v>1.6143577103311595E-2</v>
          </cell>
        </row>
        <row r="23">
          <cell r="P23">
            <v>1.8493804798091398E-2</v>
          </cell>
        </row>
        <row r="24">
          <cell r="P24">
            <v>2.9247230324333216E-2</v>
          </cell>
        </row>
        <row r="25">
          <cell r="P25">
            <v>4.6423385965022081E-2</v>
          </cell>
        </row>
        <row r="26">
          <cell r="P26">
            <v>1.5345629414178432E-2</v>
          </cell>
        </row>
        <row r="27">
          <cell r="P27">
            <v>2.7529891069198006E-2</v>
          </cell>
        </row>
        <row r="28">
          <cell r="P28">
            <v>2.4661876874364424E-2</v>
          </cell>
        </row>
        <row r="29">
          <cell r="P29">
            <v>4.1981532004866776E-2</v>
          </cell>
        </row>
        <row r="30">
          <cell r="P30">
            <v>2.7375422174235036E-2</v>
          </cell>
        </row>
        <row r="31">
          <cell r="P31">
            <v>2.1893569360858515E-2</v>
          </cell>
        </row>
        <row r="32">
          <cell r="P32">
            <v>7.1045462151897157E-3</v>
          </cell>
        </row>
        <row r="33">
          <cell r="P33">
            <v>2.7850630390127779E-2</v>
          </cell>
        </row>
        <row r="34">
          <cell r="P34">
            <v>7.5190423501961222E-3</v>
          </cell>
        </row>
      </sheetData>
      <sheetData sheetId="16" refreshError="1"/>
      <sheetData sheetId="17"/>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روکش"/>
      <sheetName val="کمیت سنجه"/>
      <sheetName val="عملیات-فعالیت ها "/>
      <sheetName val="سیاست ها و برنامه ها "/>
      <sheetName val="خروجی1"/>
      <sheetName val="ورود اطلاعات پایه"/>
      <sheetName val="ورود اطلاعات خاص"/>
      <sheetName val="سنجه عملکرد"/>
      <sheetName val="امکان سنجی منابع انسانی"/>
      <sheetName val="امکان سنجی منابع انسانی (2)"/>
      <sheetName val="امکان سنجی مواد و تجهیزات"/>
      <sheetName val="قیمت تمام شده موضوعات"/>
      <sheetName val="قیمت تمام شده پروژه "/>
      <sheetName val="ارزیابی و پایش فرایندها"/>
      <sheetName val="شاخص عملیات"/>
      <sheetName val="نرخ تسهیم"/>
      <sheetName val="برش استانی"/>
      <sheetName val="جدول 3 منابع مالی "/>
    </sheetNames>
    <sheetDataSet>
      <sheetData sheetId="0">
        <row r="1">
          <cell r="A1" t="str">
            <v xml:space="preserve"> عنوان هدف کمی:</v>
          </cell>
          <cell r="B1" t="str">
            <v>کاهش بروز بیماری های واگیر دام در واحدهای اپیدمیولوژیک</v>
          </cell>
        </row>
        <row r="2">
          <cell r="A2" t="str">
            <v>عنوان سنجه عملکرد:</v>
          </cell>
          <cell r="B2" t="str">
            <v>هزار نوبت مایه کوبی</v>
          </cell>
          <cell r="C2" t="str">
            <v>شاخص سنجه:</v>
          </cell>
          <cell r="D2">
            <v>8</v>
          </cell>
        </row>
        <row r="3">
          <cell r="D3">
            <v>0.99999999999999978</v>
          </cell>
        </row>
      </sheetData>
      <sheetData sheetId="1" refreshError="1"/>
      <sheetData sheetId="2"/>
      <sheetData sheetId="3">
        <row r="1">
          <cell r="A1" t="str">
            <v xml:space="preserve"> اهداف کلی 1: تامین بهداشت و سلامت دام</v>
          </cell>
        </row>
        <row r="2">
          <cell r="A2" t="str">
            <v xml:space="preserve">راهبرد 2-1: ارتقاء شاخص های کنترل بیماری های دام، طیور و آبزیان </v>
          </cell>
        </row>
      </sheetData>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روکش"/>
      <sheetName val="کمیت سنجه"/>
      <sheetName val="عملیات-فعالیت ها "/>
      <sheetName val="خروجی1"/>
      <sheetName val="ورود اطلاعات پایه"/>
      <sheetName val="سیاست ها و برنامه ها "/>
      <sheetName val="ورود اطلاعات خاص"/>
      <sheetName val="سنجه عملکرد"/>
      <sheetName val="امکان سنجی منابع انسانی"/>
      <sheetName val="امکان سنجی منابع انسانی (2)"/>
      <sheetName val="امکان سنجی مواد و تجهیزات"/>
      <sheetName val="قیمت تمام شده موضوعات"/>
      <sheetName val="قیمت تمام شده پروژه "/>
      <sheetName val="ارزیابی و پایش فرایندها"/>
      <sheetName val="شاخص عملیات"/>
      <sheetName val="نرخ تسهیم"/>
      <sheetName val="برش استانی"/>
      <sheetName val="جدول 3 منابع مالی "/>
    </sheetNames>
    <sheetDataSet>
      <sheetData sheetId="0">
        <row r="1">
          <cell r="A1" t="str">
            <v xml:space="preserve"> عنوان هدف کمی:</v>
          </cell>
        </row>
      </sheetData>
      <sheetData sheetId="1" refreshError="1"/>
      <sheetData sheetId="2">
        <row r="24">
          <cell r="L24">
            <v>20004.400000000001</v>
          </cell>
          <cell r="M24">
            <v>0</v>
          </cell>
        </row>
      </sheetData>
      <sheetData sheetId="3" refreshError="1"/>
      <sheetData sheetId="4" refreshError="1"/>
      <sheetData sheetId="5">
        <row r="1">
          <cell r="B1" t="str">
            <v xml:space="preserve"> اهداف کلی 2: تامین بهداشت و تضمين كيفيت فراورده های خام دامی، خوراک دام، دارو و فراورده هاي بيولوژيك </v>
          </cell>
        </row>
      </sheetData>
      <sheetData sheetId="6" refreshError="1"/>
      <sheetData sheetId="7" refreshError="1"/>
      <sheetData sheetId="8" refreshError="1"/>
      <sheetData sheetId="9">
        <row r="2">
          <cell r="D2" t="str">
            <v>نیروی انسانی مورد نیاز بخش دولتی (نفر)</v>
          </cell>
        </row>
      </sheetData>
      <sheetData sheetId="10" refreshError="1"/>
      <sheetData sheetId="11" refreshError="1"/>
      <sheetData sheetId="12">
        <row r="4">
          <cell r="D4">
            <v>1422.1181964647683</v>
          </cell>
        </row>
      </sheetData>
      <sheetData sheetId="13" refreshError="1"/>
      <sheetData sheetId="14" refreshError="1"/>
      <sheetData sheetId="15">
        <row r="3">
          <cell r="Q3">
            <v>5.1637805132484872E-2</v>
          </cell>
        </row>
        <row r="4">
          <cell r="Q4">
            <v>4.0058418527018566E-2</v>
          </cell>
        </row>
        <row r="5">
          <cell r="Q5">
            <v>2.0133528061756729E-2</v>
          </cell>
        </row>
        <row r="6">
          <cell r="Q6">
            <v>5.0803254746505322E-2</v>
          </cell>
        </row>
        <row r="7">
          <cell r="Q7">
            <v>2.3784686000417277E-2</v>
          </cell>
        </row>
        <row r="8">
          <cell r="Q8">
            <v>8.7627790527853126E-3</v>
          </cell>
        </row>
        <row r="9">
          <cell r="Q9">
            <v>5.9461715001043192E-3</v>
          </cell>
        </row>
        <row r="10">
          <cell r="Q10">
            <v>0.10285833507197997</v>
          </cell>
        </row>
        <row r="11">
          <cell r="Q11">
            <v>7.8239098685583142E-3</v>
          </cell>
        </row>
        <row r="12">
          <cell r="Q12">
            <v>2.4306279991654495E-2</v>
          </cell>
        </row>
        <row r="13">
          <cell r="Q13">
            <v>9.9102858335071986E-3</v>
          </cell>
        </row>
        <row r="14">
          <cell r="Q14">
            <v>6.2069684957229296E-2</v>
          </cell>
        </row>
        <row r="15">
          <cell r="Q15">
            <v>1.2100980596703526E-2</v>
          </cell>
        </row>
        <row r="16">
          <cell r="Q16">
            <v>5.3411224702691426E-2</v>
          </cell>
        </row>
        <row r="17">
          <cell r="Q17">
            <v>1.6065094930106404E-2</v>
          </cell>
        </row>
        <row r="18">
          <cell r="Q18">
            <v>1.1475067807218861E-2</v>
          </cell>
        </row>
        <row r="19">
          <cell r="Q19">
            <v>3.1817233465470475E-2</v>
          </cell>
        </row>
        <row r="20">
          <cell r="Q20">
            <v>3.8284998956812019E-2</v>
          </cell>
        </row>
        <row r="21">
          <cell r="Q21">
            <v>2.8479031921552263E-2</v>
          </cell>
        </row>
        <row r="22">
          <cell r="Q22">
            <v>1.8047152096807843E-2</v>
          </cell>
        </row>
        <row r="23">
          <cell r="Q23">
            <v>1.815147089505529E-2</v>
          </cell>
        </row>
        <row r="24">
          <cell r="Q24">
            <v>1.9507615272272065E-2</v>
          </cell>
        </row>
        <row r="25">
          <cell r="Q25">
            <v>2.7853119132067599E-2</v>
          </cell>
        </row>
        <row r="26">
          <cell r="Q26">
            <v>1.5960776131858961E-2</v>
          </cell>
        </row>
        <row r="27">
          <cell r="Q27">
            <v>3.0252451491758814E-2</v>
          </cell>
        </row>
        <row r="28">
          <cell r="Q28">
            <v>7.4379303150427706E-2</v>
          </cell>
        </row>
        <row r="29">
          <cell r="Q29">
            <v>3.7867723763822241E-2</v>
          </cell>
        </row>
        <row r="30">
          <cell r="Q30">
            <v>8.3142082203213022E-2</v>
          </cell>
        </row>
        <row r="31">
          <cell r="Q31">
            <v>2.0968078447736283E-2</v>
          </cell>
        </row>
        <row r="32">
          <cell r="Q32">
            <v>1.0849155017734195E-2</v>
          </cell>
        </row>
        <row r="33">
          <cell r="Q33">
            <v>2.7957437930315042E-2</v>
          </cell>
        </row>
        <row r="34">
          <cell r="Q34">
            <v>1.5334863342374296E-2</v>
          </cell>
        </row>
      </sheetData>
      <sheetData sheetId="16" refreshError="1"/>
      <sheetData sheetId="17"/>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روکش"/>
      <sheetName val="کمیت سنجه"/>
      <sheetName val="عملیات-فعالیت ها "/>
      <sheetName val="خروجی1"/>
      <sheetName val="ورود اطلاعات پایه"/>
      <sheetName val="سیاست ها و برنامه ها "/>
      <sheetName val="ورود اطلاعات خاص"/>
      <sheetName val="سنجه عملکرد"/>
      <sheetName val="امکان سنجی منابع انسانی"/>
      <sheetName val="امکان سنجی منابع انسانی (2)"/>
      <sheetName val="امکان سنجی مواد و تجهیزات"/>
      <sheetName val="قیمت تمام شده موضوعات"/>
      <sheetName val="قیمت تمام شده پروژه "/>
      <sheetName val="ارزیابی و پایش فرایندها"/>
      <sheetName val="شاخص عملیات"/>
      <sheetName val="نرخ تسهیم"/>
      <sheetName val="برش استانی"/>
      <sheetName val="جدول 3 منابع مالی "/>
    </sheetNames>
    <sheetDataSet>
      <sheetData sheetId="0">
        <row r="1">
          <cell r="A1" t="str">
            <v xml:space="preserve"> عنوان هدف کمی:</v>
          </cell>
          <cell r="B1" t="str">
            <v>افزایش سطح پایش و کنترل سموم (کلره، فسفره) و فلزات سنگین (سرب، کادمیوم، جیوه، آرسنیک) در فراورده های دامی (دام، طیور، آبزیان) و خوراک دام در حد مجاز، افزایش سطح پایش و کنترل باقیمانده های دارویی (آنتی بیوتیک ها، هورمون ها) در فراورده های دامی (دام، طیور، آبزیان) و خوراک دام در حد مجاز، افزایش سطح پایش و کنترل آفلاتوکسین ها در فراورده های دامی (دام، طیور، آبزیان) و خوراک دام در حد مجاز</v>
          </cell>
        </row>
        <row r="2">
          <cell r="A2" t="str">
            <v>عنوان سنجه عملکرد:</v>
          </cell>
          <cell r="B2" t="str">
            <v xml:space="preserve">بازدید/نمونه برداری </v>
          </cell>
          <cell r="C2" t="str">
            <v>شاخص سنجه:</v>
          </cell>
          <cell r="D2">
            <v>2</v>
          </cell>
        </row>
      </sheetData>
      <sheetData sheetId="1" refreshError="1"/>
      <sheetData sheetId="2"/>
      <sheetData sheetId="3" refreshError="1"/>
      <sheetData sheetId="4" refreshError="1"/>
      <sheetData sheetId="5">
        <row r="1">
          <cell r="B1" t="str">
            <v xml:space="preserve"> اهداف کلی 2: تامین بهداشت و تضمين كيفيت فراورده های خام دامی، خوراک دام، دارو و فراورده هاي بيولوژيك </v>
          </cell>
        </row>
        <row r="2">
          <cell r="B2" t="str">
            <v xml:space="preserve"> راهبرد 6-2: ارتقاء شاخص های سلامت و بهداشت فراورده های خام دامی و خوراک دام</v>
          </cell>
        </row>
      </sheetData>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نرخ تسهیم هدف 1"/>
      <sheetName val="برش استانی هدف 1"/>
      <sheetName val="جدول 3 منابع مالی هدف 1 "/>
      <sheetName val="نرخ تسهیم هدف 2"/>
      <sheetName val="برش استانی هدف 2"/>
      <sheetName val="جدول 3 منابع مالی هدف 2 "/>
      <sheetName val="نرخ تسهیم هدف 3"/>
      <sheetName val="برش استانی هدف 3"/>
      <sheetName val="جدول 3 منابع مالی 3 "/>
      <sheetName val="نرخ تسهیم هدف 4"/>
      <sheetName val="برش استانی هدف 4"/>
      <sheetName val="جدول 3 منابع مالی هدف 4 "/>
      <sheetName val="نرخ تسهیم هدف 5"/>
      <sheetName val="برش استانی هدف 5"/>
      <sheetName val="جدول 3 منابع مالی هدف 5 "/>
      <sheetName val="روكش هدف 6"/>
      <sheetName val="جدول 3 منابع مالی هدف 6 "/>
      <sheetName val="نرخ تسهیم هدف 7"/>
      <sheetName val="برش استانی هدف 7"/>
      <sheetName val="جدول 3 منابع مالی هدف 7 "/>
      <sheetName val="نرخ تسهیم هدف 8"/>
      <sheetName val="برش استانی هدف 8"/>
      <sheetName val="جدول 3 منابع مالی هدف 8 "/>
      <sheetName val="نرخ تسهیم هدف 9"/>
      <sheetName val="برش استانی هدف 9"/>
      <sheetName val="جدول 3 منابع مالی هدف 9 "/>
      <sheetName val="نرخ تسهیم هدف 10"/>
      <sheetName val="برش استانی هدف 10"/>
      <sheetName val="جدول 3 منابع مالی هدف 10 "/>
      <sheetName val="نرخ تسهیم هدف 11"/>
      <sheetName val="برش استانی هدف 11"/>
      <sheetName val="جدول 3 منابع مالی هدف 11 "/>
      <sheetName val="نرخ تسهیم هدف 12"/>
      <sheetName val="برش استانی هدف 12"/>
      <sheetName val="جدول 3 منابع مالی هدف 12 "/>
      <sheetName val="نرخ تسهیم هدف 13"/>
      <sheetName val="برش استانی هدف 13"/>
      <sheetName val="جدول 3 منابع مالی هدف 13 "/>
      <sheetName val="نرخ تسهیم هدف 14"/>
      <sheetName val="برش استانی هدف 14"/>
      <sheetName val="جدول 3 منابع مالی هدف 14 "/>
      <sheetName val="نرخ تسهیم هدف 15"/>
      <sheetName val="برش استانی هدف 15"/>
      <sheetName val="جدول 3 منابع مالی هدف 15 "/>
      <sheetName val="نرخ تسهیم هدف 16"/>
      <sheetName val="برش استانی هدف 16"/>
      <sheetName val="جدول 3 منابع مالی هدف 16 "/>
      <sheetName val="جدول 3 منابع مالی کل اهداف"/>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3">
          <cell r="A3">
            <v>1</v>
          </cell>
          <cell r="L3">
            <v>3.5309573535659999E-2</v>
          </cell>
        </row>
        <row r="4">
          <cell r="L4">
            <v>2.9389458919513035E-2</v>
          </cell>
        </row>
        <row r="5">
          <cell r="L5">
            <v>3.2330253576677001E-2</v>
          </cell>
        </row>
        <row r="6">
          <cell r="L6">
            <v>7.3146555131285859E-2</v>
          </cell>
        </row>
        <row r="7">
          <cell r="L7">
            <v>4.4352764769093729E-2</v>
          </cell>
        </row>
        <row r="8">
          <cell r="L8">
            <v>8.4339411032383158E-3</v>
          </cell>
        </row>
        <row r="9">
          <cell r="L9">
            <v>2.4590042862271382E-2</v>
          </cell>
        </row>
        <row r="10">
          <cell r="L10">
            <v>7.1782262998396046E-2</v>
          </cell>
        </row>
        <row r="11">
          <cell r="L11">
            <v>5.0602366186658062E-3</v>
          </cell>
        </row>
        <row r="12">
          <cell r="L12">
            <v>2.922407193285851E-2</v>
          </cell>
        </row>
        <row r="13">
          <cell r="L13">
            <v>9.3585932743609924E-3</v>
          </cell>
        </row>
        <row r="14">
          <cell r="L14">
            <v>4.8685315718916579E-2</v>
          </cell>
        </row>
        <row r="15">
          <cell r="L15">
            <v>2.0055643142473562E-2</v>
          </cell>
        </row>
        <row r="16">
          <cell r="L16">
            <v>3.757787142282009E-2</v>
          </cell>
        </row>
        <row r="17">
          <cell r="L17">
            <v>1.9058882388937406E-2</v>
          </cell>
        </row>
        <row r="18">
          <cell r="L18">
            <v>2.2636793436883674E-2</v>
          </cell>
        </row>
        <row r="19">
          <cell r="L19">
            <v>3.4893882159472617E-2</v>
          </cell>
        </row>
        <row r="20">
          <cell r="L20">
            <v>6.1915360377352104E-2</v>
          </cell>
        </row>
        <row r="21">
          <cell r="L21">
            <v>3.6869904418663287E-2</v>
          </cell>
        </row>
        <row r="22">
          <cell r="L22">
            <v>2.3537903615990979E-2</v>
          </cell>
        </row>
        <row r="23">
          <cell r="L23">
            <v>9.2254058023580193E-3</v>
          </cell>
        </row>
        <row r="24">
          <cell r="L24">
            <v>2.5945117227028008E-2</v>
          </cell>
        </row>
        <row r="25">
          <cell r="L25">
            <v>2.5705878472291683E-2</v>
          </cell>
        </row>
        <row r="26">
          <cell r="L26">
            <v>1.1334143795162038E-2</v>
          </cell>
        </row>
        <row r="27">
          <cell r="L27">
            <v>5.8346392141449079E-2</v>
          </cell>
        </row>
        <row r="28">
          <cell r="L28">
            <v>4.1053505095149968E-2</v>
          </cell>
        </row>
        <row r="29">
          <cell r="L29">
            <v>8.2631875308085308E-3</v>
          </cell>
        </row>
        <row r="30">
          <cell r="L30">
            <v>4.1967922789591161E-2</v>
          </cell>
        </row>
        <row r="31">
          <cell r="L31">
            <v>1.5142330568441833E-2</v>
          </cell>
        </row>
        <row r="32">
          <cell r="L32">
            <v>5.1895549373245739E-2</v>
          </cell>
        </row>
        <row r="33">
          <cell r="L33">
            <v>2.9943167470263796E-2</v>
          </cell>
        </row>
        <row r="34">
          <cell r="L34">
            <v>1.2968088330679022E-2</v>
          </cell>
        </row>
      </sheetData>
      <sheetData sheetId="24">
        <row r="200">
          <cell r="D200">
            <v>286</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روکش"/>
      <sheetName val="کمیت سنجه"/>
      <sheetName val="عملیات-فعالیت ها "/>
      <sheetName val="سیاست ها و برنامه ها "/>
      <sheetName val="خروجی1"/>
      <sheetName val="ورود اطلاعات پایه"/>
      <sheetName val="ورود اطلاعات خاص"/>
      <sheetName val="سنجه عملکرد"/>
      <sheetName val="امکان سنجی منابع انسانی"/>
      <sheetName val="امکان سنجی منابع انسانی (2)"/>
      <sheetName val="امکان سنجی مواد و تجهیزات"/>
      <sheetName val="قیمت تمام شده موضوعات"/>
      <sheetName val="قیمت تمام شده پروژه "/>
      <sheetName val="ارزیابی و پایش فرایندها"/>
      <sheetName val="شاخص عملیات"/>
      <sheetName val="نرخ تسهیم (2)"/>
      <sheetName val="نرخ تسهیم"/>
      <sheetName val="برش استانی"/>
      <sheetName val="جدول 3 منابع مالی "/>
    </sheetNames>
    <sheetDataSet>
      <sheetData sheetId="0">
        <row r="1">
          <cell r="A1" t="str">
            <v xml:space="preserve"> عنوان هدف کمی:</v>
          </cell>
          <cell r="B1" t="str">
            <v>توسعه آزمایشگاه های مرجع منطقه ای کنترل کیفی فراورده های دامی، خوراک دام در پنج منطقه تا پایان برنامه /توسعه كمي و كيفي آزمون های تشخيصی و كنترل كيفي دامپزشكي 25 درصد نسبت به سال پایه تا پایان برنامه /اعتبار بخشی آزمون های تشخيصی و كنترل كيفي فراورده های دامی، خوراک دام، دارو و فراورده هاي بيولوژيك پایان برنامه</v>
          </cell>
        </row>
        <row r="2">
          <cell r="A2" t="str">
            <v>عنوان سنجه عملکرد:</v>
          </cell>
          <cell r="B2" t="str">
            <v>هزار مورد آزمایش</v>
          </cell>
          <cell r="C2" t="str">
            <v>شاخص سنجه:</v>
          </cell>
          <cell r="D2">
            <v>640</v>
          </cell>
        </row>
        <row r="3">
          <cell r="D3">
            <v>0.99999999999999978</v>
          </cell>
        </row>
      </sheetData>
      <sheetData sheetId="1" refreshError="1"/>
      <sheetData sheetId="2"/>
      <sheetData sheetId="3">
        <row r="1">
          <cell r="A1" t="str">
            <v xml:space="preserve"> اهداف کلی 2:    ارتقاء بهداشت و تضمين كيفيت فراورده های خام دامی، خوراک دام، دارو و فراورده هاي بيولوژيك </v>
          </cell>
        </row>
        <row r="2">
          <cell r="A2" t="str">
            <v>راهبرد 8-2: توسعه آزمایشگاه های کنترل کیفی فراورده های خام دامی و خوراک دام، دارو و فراورده هاي بيولوژيك</v>
          </cell>
        </row>
      </sheetData>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روکش"/>
      <sheetName val="کمیت سنجه"/>
      <sheetName val="عملیات-فعالیت ها  "/>
      <sheetName val="سیاست ها و برنامه ها "/>
      <sheetName val="خروجی1"/>
      <sheetName val="ورود اطلاعات پایه"/>
      <sheetName val="ورود اطلاعات خاص"/>
      <sheetName val="سنجه عملکرد"/>
      <sheetName val="امکان سنجی منابع انسانی"/>
      <sheetName val="امکان سنجی منابع انسانی (2)"/>
      <sheetName val="امکان سنجی مواد و تجهیزات"/>
      <sheetName val="قیمت تمام شده موضوعات"/>
      <sheetName val="قیمت تمام شده پروژه "/>
      <sheetName val="ارزیابی و پایش فرایندها"/>
      <sheetName val="شاخص عملیات"/>
      <sheetName val="نرخ تسهیم"/>
      <sheetName val="برش استانی"/>
      <sheetName val="جدول 3 منابع مالی "/>
    </sheetNames>
    <sheetDataSet>
      <sheetData sheetId="0">
        <row r="1">
          <cell r="A1" t="str">
            <v xml:space="preserve"> عنوان هدف کمی:</v>
          </cell>
        </row>
      </sheetData>
      <sheetData sheetId="1" refreshError="1"/>
      <sheetData sheetId="2">
        <row r="48">
          <cell r="L48">
            <v>3206.1371039999999</v>
          </cell>
          <cell r="M48">
            <v>0</v>
          </cell>
        </row>
      </sheetData>
      <sheetData sheetId="3">
        <row r="1">
          <cell r="A1" t="str">
            <v xml:space="preserve"> اهداف کلی 2:   ارتقاء بهداشت و تضمين كيفيت فراورده های خام دامی، خوراک دام، دارو و فراورده هاي بيولوژيك </v>
          </cell>
        </row>
      </sheetData>
      <sheetData sheetId="4" refreshError="1"/>
      <sheetData sheetId="5" refreshError="1"/>
      <sheetData sheetId="6" refreshError="1"/>
      <sheetData sheetId="7" refreshError="1"/>
      <sheetData sheetId="8" refreshError="1"/>
      <sheetData sheetId="9">
        <row r="2">
          <cell r="D2" t="str">
            <v>نیروی انسانی مورد نیاز بخش دولتی (نفر)</v>
          </cell>
        </row>
      </sheetData>
      <sheetData sheetId="10" refreshError="1"/>
      <sheetData sheetId="11" refreshError="1"/>
      <sheetData sheetId="12">
        <row r="4">
          <cell r="D4">
            <v>34943.563914107879</v>
          </cell>
        </row>
      </sheetData>
      <sheetData sheetId="13" refreshError="1"/>
      <sheetData sheetId="14" refreshError="1"/>
      <sheetData sheetId="15">
        <row r="3">
          <cell r="Q3">
            <v>4.2126867833073248E-2</v>
          </cell>
        </row>
        <row r="4">
          <cell r="Q4">
            <v>7.1460468288771714E-2</v>
          </cell>
        </row>
        <row r="5">
          <cell r="Q5">
            <v>1.4386512330812999E-2</v>
          </cell>
        </row>
        <row r="6">
          <cell r="Q6">
            <v>5.5196006101696601E-2</v>
          </cell>
        </row>
        <row r="7">
          <cell r="Q7">
            <v>3.7932366993122399E-2</v>
          </cell>
        </row>
        <row r="8">
          <cell r="Q8">
            <v>1.1022358124725793E-2</v>
          </cell>
        </row>
        <row r="9">
          <cell r="Q9">
            <v>3.352136251916718E-2</v>
          </cell>
        </row>
        <row r="10">
          <cell r="Q10">
            <v>6.6414582476303469E-2</v>
          </cell>
        </row>
        <row r="11">
          <cell r="Q11">
            <v>1.6100453543402876E-3</v>
          </cell>
        </row>
        <row r="12">
          <cell r="Q12">
            <v>1.8046095787363929E-2</v>
          </cell>
        </row>
        <row r="13">
          <cell r="Q13">
            <v>2.8996975865997334E-2</v>
          </cell>
        </row>
        <row r="14">
          <cell r="Q14">
            <v>7.2238571650133615E-2</v>
          </cell>
        </row>
        <row r="15">
          <cell r="Q15">
            <v>8.4674438950616028E-3</v>
          </cell>
        </row>
        <row r="16">
          <cell r="Q16">
            <v>5.954251359562255E-2</v>
          </cell>
        </row>
        <row r="17">
          <cell r="Q17">
            <v>8.936044253881413E-3</v>
          </cell>
        </row>
        <row r="18">
          <cell r="Q18">
            <v>1.6776328389916478E-2</v>
          </cell>
        </row>
        <row r="19">
          <cell r="Q19">
            <v>4.3777591141960712E-2</v>
          </cell>
        </row>
        <row r="20">
          <cell r="Q20">
            <v>3.9392400081721277E-2</v>
          </cell>
        </row>
        <row r="21">
          <cell r="Q21">
            <v>2.0020686605659477E-2</v>
          </cell>
        </row>
        <row r="22">
          <cell r="Q22">
            <v>1.7050325596556618E-2</v>
          </cell>
        </row>
        <row r="23">
          <cell r="Q23">
            <v>2.1289562604873781E-2</v>
          </cell>
        </row>
        <row r="24">
          <cell r="Q24">
            <v>2.2406819890360415E-2</v>
          </cell>
        </row>
        <row r="25">
          <cell r="Q25">
            <v>2.8708589186775213E-2</v>
          </cell>
        </row>
        <row r="26">
          <cell r="Q26">
            <v>7.8840354437181431E-3</v>
          </cell>
        </row>
        <row r="27">
          <cell r="Q27">
            <v>3.0538918361619472E-2</v>
          </cell>
        </row>
        <row r="28">
          <cell r="Q28">
            <v>2.3927893121729472E-2</v>
          </cell>
        </row>
        <row r="29">
          <cell r="Q29">
            <v>2.1983041898207951E-2</v>
          </cell>
        </row>
        <row r="30">
          <cell r="Q30">
            <v>7.1943663230760138E-2</v>
          </cell>
        </row>
        <row r="31">
          <cell r="Q31">
            <v>2.6947026021416721E-2</v>
          </cell>
        </row>
        <row r="32">
          <cell r="Q32">
            <v>4.2803304028717341E-2</v>
          </cell>
        </row>
        <row r="33">
          <cell r="Q33">
            <v>1.5348814884736606E-2</v>
          </cell>
        </row>
        <row r="34">
          <cell r="Q34">
            <v>1.9302784441195747E-2</v>
          </cell>
        </row>
      </sheetData>
      <sheetData sheetId="16" refreshError="1"/>
      <sheetData sheetId="17"/>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روکش"/>
      <sheetName val="کمیت سنجه"/>
      <sheetName val="عملیات-فعالیت ها  "/>
      <sheetName val="سیاست ها و برنامه ها "/>
      <sheetName val="خروجی1"/>
      <sheetName val="ورود اطلاعات پایه"/>
      <sheetName val="ورود اطلاعات خاص"/>
      <sheetName val="سنجه عملکرد"/>
      <sheetName val="امکان سنجی منابع انسانی"/>
      <sheetName val="امکان سنجی منابع انسانی (2)"/>
      <sheetName val="امکان سنجی مواد و تجهیزات"/>
      <sheetName val="قیمت تمام شده موضوعات"/>
      <sheetName val="قیمت تمام شده پروژه "/>
      <sheetName val="ارزیابی و پایش فرایندها"/>
      <sheetName val="شاخص عملیات"/>
      <sheetName val="نرخ تسهیم"/>
      <sheetName val="برش استانی"/>
      <sheetName val="جدول 3 منابع مالی "/>
    </sheetNames>
    <sheetDataSet>
      <sheetData sheetId="0">
        <row r="1">
          <cell r="A1" t="str">
            <v xml:space="preserve"> عنوان هدف کمی:</v>
          </cell>
          <cell r="B1" t="str">
            <v>افزايش تعداد ناوگان اختصاصي و بهداشتي حمل و نقل</v>
          </cell>
        </row>
        <row r="2">
          <cell r="A2" t="str">
            <v>عنوان سنجه عملکرد:</v>
          </cell>
          <cell r="B2" t="str">
            <v xml:space="preserve"> هزار محموله</v>
          </cell>
          <cell r="C2" t="str">
            <v>شاخص سنجه:</v>
          </cell>
          <cell r="D2">
            <v>650</v>
          </cell>
        </row>
      </sheetData>
      <sheetData sheetId="1" refreshError="1"/>
      <sheetData sheetId="2"/>
      <sheetData sheetId="3">
        <row r="1">
          <cell r="A1" t="str">
            <v xml:space="preserve"> اهداف کلی 2:   ارتقاء بهداشت و تضمين كيفيت فراورده های خام دامی، خوراک دام، دارو و فراورده هاي بيولوژيك </v>
          </cell>
        </row>
        <row r="2">
          <cell r="A2" t="str">
            <v xml:space="preserve"> راهبرد 10-2: ارتقاء بهداشت ناوگان حمل و نقل</v>
          </cell>
        </row>
      </sheetData>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روکش"/>
      <sheetName val="کمیت سنجه"/>
      <sheetName val="عملیات-فعالیت ها  "/>
      <sheetName val="سیاست ها و برنامه ها "/>
      <sheetName val="خروجی1"/>
      <sheetName val="ورود اطلاعات پایه"/>
      <sheetName val="ورود اطلاعات خاص"/>
      <sheetName val="سنجه عملکرد"/>
      <sheetName val="امکان سنجی منابع انسانی"/>
      <sheetName val="امکان سنجی منابع انسانی (2)"/>
      <sheetName val="امکان سنجی مواد و تجهیزات"/>
      <sheetName val="قیمت تمام شده موضوعات"/>
      <sheetName val="قیمت تمام شده پروژه "/>
      <sheetName val="ارزیابی و پایش فرایندها"/>
      <sheetName val="شاخص عملیات"/>
      <sheetName val="نرخ تسهیم"/>
      <sheetName val="برش استانی"/>
      <sheetName val="جدول 3 منابع مالی "/>
    </sheetNames>
    <sheetDataSet>
      <sheetData sheetId="0"/>
      <sheetData sheetId="1"/>
      <sheetData sheetId="2">
        <row r="4">
          <cell r="J4">
            <v>291495.89999999997</v>
          </cell>
        </row>
        <row r="5">
          <cell r="J5">
            <v>680157.1</v>
          </cell>
        </row>
        <row r="6">
          <cell r="J6">
            <v>31149</v>
          </cell>
        </row>
        <row r="7">
          <cell r="J7">
            <v>3401</v>
          </cell>
        </row>
        <row r="8">
          <cell r="J8">
            <v>5860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روکش"/>
      <sheetName val="کمیت سنجه"/>
      <sheetName val="عملیات-فعالیت ها "/>
      <sheetName val="سیاست ها و برنامه ها "/>
      <sheetName val="ورود اطلاعات پایه"/>
      <sheetName val="ورود اطلاعات خاص"/>
      <sheetName val="سنجه عملکرد"/>
      <sheetName val="امکان سنجی منابع انسانی"/>
      <sheetName val="امکان سنجی منابع انسانی (2)"/>
      <sheetName val="امکان سنجی مواد و تجهیزات"/>
      <sheetName val="قیمت تمام شده موضوعات"/>
      <sheetName val="قیمت تمام شده پروژه "/>
      <sheetName val="ارزیابی و پایش فرایندها"/>
      <sheetName val="شاخص عملیات"/>
      <sheetName val="نرخ تسهیم"/>
      <sheetName val="برش استانی"/>
      <sheetName val="جدول 3 منابع مالی "/>
    </sheetNames>
    <sheetDataSet>
      <sheetData sheetId="0">
        <row r="1">
          <cell r="A1" t="str">
            <v xml:space="preserve"> عنوان هدف کمی:</v>
          </cell>
        </row>
      </sheetData>
      <sheetData sheetId="1" refreshError="1"/>
      <sheetData sheetId="2">
        <row r="75">
          <cell r="L75">
            <v>428245.09845333337</v>
          </cell>
          <cell r="M75">
            <v>3370343.9668295998</v>
          </cell>
        </row>
      </sheetData>
      <sheetData sheetId="3">
        <row r="1">
          <cell r="A1" t="str">
            <v xml:space="preserve"> اهداف کلی 3:  ارتقاء كيفيت و بهداشت واحدهای تولیدی، توزیعی، عرضه و خدمات مرتبط با دامپزشکی</v>
          </cell>
        </row>
      </sheetData>
      <sheetData sheetId="4" refreshError="1"/>
      <sheetData sheetId="5" refreshError="1"/>
      <sheetData sheetId="6">
        <row r="15">
          <cell r="B15">
            <v>1000</v>
          </cell>
        </row>
      </sheetData>
      <sheetData sheetId="7">
        <row r="2">
          <cell r="D2" t="str">
            <v>نیروی انسانی مورد نیاز بخش دولتی (نفر)</v>
          </cell>
        </row>
      </sheetData>
      <sheetData sheetId="8">
        <row r="14">
          <cell r="D14">
            <v>499.61928152888868</v>
          </cell>
        </row>
      </sheetData>
      <sheetData sheetId="9" refreshError="1"/>
      <sheetData sheetId="10" refreshError="1"/>
      <sheetData sheetId="11">
        <row r="4">
          <cell r="D4">
            <v>44244.057121402824</v>
          </cell>
        </row>
      </sheetData>
      <sheetData sheetId="12" refreshError="1"/>
      <sheetData sheetId="13" refreshError="1"/>
      <sheetData sheetId="14">
        <row r="3">
          <cell r="L3">
            <v>3.5082373749375291E-2</v>
          </cell>
        </row>
        <row r="4">
          <cell r="L4">
            <v>3.9728320526743494E-2</v>
          </cell>
        </row>
        <row r="5">
          <cell r="L5">
            <v>1.0070306301419901E-2</v>
          </cell>
        </row>
        <row r="6">
          <cell r="L6">
            <v>5.278552099994429E-2</v>
          </cell>
        </row>
        <row r="7">
          <cell r="L7">
            <v>3.5111500520976065E-2</v>
          </cell>
        </row>
        <row r="8">
          <cell r="L8">
            <v>2.9094318882984638E-2</v>
          </cell>
        </row>
        <row r="9">
          <cell r="L9">
            <v>9.3343128459106098E-3</v>
          </cell>
        </row>
        <row r="10">
          <cell r="L10">
            <v>6.7362565028873736E-2</v>
          </cell>
        </row>
        <row r="11">
          <cell r="L11">
            <v>6.7111105052833674E-3</v>
          </cell>
        </row>
        <row r="12">
          <cell r="L12">
            <v>1.5622697577873228E-2</v>
          </cell>
        </row>
        <row r="13">
          <cell r="L13">
            <v>2.5051400405837771E-2</v>
          </cell>
        </row>
        <row r="14">
          <cell r="L14">
            <v>8.2873641977267751E-2</v>
          </cell>
        </row>
        <row r="15">
          <cell r="L15">
            <v>1.1621443126426325E-2</v>
          </cell>
        </row>
        <row r="16">
          <cell r="L16">
            <v>4.9380087107573793E-2</v>
          </cell>
        </row>
        <row r="17">
          <cell r="L17">
            <v>2.5025871051583191E-2</v>
          </cell>
        </row>
        <row r="18">
          <cell r="L18">
            <v>2.3968767232572595E-2</v>
          </cell>
        </row>
        <row r="19">
          <cell r="L19">
            <v>1.7092993373688557E-2</v>
          </cell>
        </row>
        <row r="20">
          <cell r="L20">
            <v>4.3636341340818008E-2</v>
          </cell>
        </row>
        <row r="21">
          <cell r="L21">
            <v>2.5252750433373074E-2</v>
          </cell>
        </row>
        <row r="22">
          <cell r="L22">
            <v>2.5666652821530231E-2</v>
          </cell>
        </row>
        <row r="23">
          <cell r="L23">
            <v>1.8510153169893954E-2</v>
          </cell>
        </row>
        <row r="24">
          <cell r="L24">
            <v>2.3715230336436285E-2</v>
          </cell>
        </row>
        <row r="25">
          <cell r="L25">
            <v>3.371799925010345E-2</v>
          </cell>
        </row>
        <row r="26">
          <cell r="L26">
            <v>1.1047891817852479E-2</v>
          </cell>
        </row>
        <row r="27">
          <cell r="L27">
            <v>5.3296574338055555E-2</v>
          </cell>
        </row>
        <row r="28">
          <cell r="L28">
            <v>3.1923203666863222E-2</v>
          </cell>
        </row>
        <row r="29">
          <cell r="L29">
            <v>4.0706461207359566E-2</v>
          </cell>
        </row>
        <row r="30">
          <cell r="L30">
            <v>6.4456025885920393E-2</v>
          </cell>
        </row>
        <row r="31">
          <cell r="L31">
            <v>3.3612074423181731E-2</v>
          </cell>
        </row>
        <row r="32">
          <cell r="L32">
            <v>1.6394559521876219E-2</v>
          </cell>
        </row>
        <row r="33">
          <cell r="L33">
            <v>1.9794862913478321E-2</v>
          </cell>
        </row>
        <row r="34">
          <cell r="L34">
            <v>2.2351987658923003E-2</v>
          </cell>
        </row>
      </sheetData>
      <sheetData sheetId="15">
        <row r="200">
          <cell r="D200">
            <v>326</v>
          </cell>
        </row>
      </sheetData>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gration"/>
      <sheetName val="Problem Statement"/>
      <sheetName val="Objectives"/>
      <sheetName val="PCWBS1"/>
      <sheetName val="PCWBS2"/>
      <sheetName val="PCWBS3"/>
      <sheetName val="PCWBS4"/>
      <sheetName val="PCWBS5"/>
      <sheetName val="PCWBS6"/>
      <sheetName val="PCWBS7"/>
      <sheetName val="PCWBS8"/>
      <sheetName val="PCWBS9"/>
      <sheetName val="PCWBS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روکش"/>
      <sheetName val="کمیت سنجه"/>
      <sheetName val="عملیات-فعالیت ها "/>
      <sheetName val="خروجی1"/>
      <sheetName val="سیاست ها و برنامه ها "/>
      <sheetName val="ورود اطلاعات پایه"/>
      <sheetName val="ورود اطلاعات خاص"/>
      <sheetName val="سنجه عملکرد"/>
      <sheetName val="امکان سنجی منابع انسانی"/>
      <sheetName val="امکان سنجی منابع انسانی (2)"/>
      <sheetName val="امکان سنجی مواد و تجهیزات"/>
      <sheetName val="قیمت تمام شده موضوعات"/>
      <sheetName val="قیمت تمام شده پروژه "/>
      <sheetName val="ارزیابی و پایش فرایندها"/>
      <sheetName val="شاخص عملیات"/>
      <sheetName val="نرخ تسهیم"/>
      <sheetName val="برش استانی"/>
      <sheetName val="جدول 3 منابع مالی "/>
    </sheetNames>
    <sheetDataSet>
      <sheetData sheetId="0">
        <row r="1">
          <cell r="A1" t="str">
            <v xml:space="preserve"> عنوان هدف کمی:</v>
          </cell>
          <cell r="B1" t="str">
            <v xml:space="preserve"> افزايش تعداد واحدهاي داراي گواهي هاي استقرار سامانه هاي GMP, HACCP  و ....</v>
          </cell>
        </row>
        <row r="2">
          <cell r="A2" t="str">
            <v>عنوان سنجه عملکرد:</v>
          </cell>
          <cell r="B2" t="str">
            <v xml:space="preserve"> مورد بازرسی</v>
          </cell>
          <cell r="C2" t="str">
            <v>شاخص سنجه:</v>
          </cell>
          <cell r="D2">
            <v>1.5</v>
          </cell>
        </row>
        <row r="3">
          <cell r="D3">
            <v>1</v>
          </cell>
        </row>
      </sheetData>
      <sheetData sheetId="1" refreshError="1"/>
      <sheetData sheetId="2"/>
      <sheetData sheetId="3" refreshError="1"/>
      <sheetData sheetId="4">
        <row r="1">
          <cell r="A1" t="str">
            <v xml:space="preserve"> اهداف کلی 3:  ارتقاء كيفيت و بهداشت واحدهای تولیدی، توزیعی، عرضه و خدمات مرتبط با دامپزشکی</v>
          </cell>
        </row>
        <row r="2">
          <cell r="A2" t="str">
            <v xml:space="preserve"> راهبرد 11-3: استقرار سامانه های GMP, HACCP  و .... در واحدهای تولیدی، توزیعی، عرضه و خدمات مرتبط با دامپزشکی</v>
          </cell>
        </row>
      </sheetData>
      <sheetData sheetId="5" refreshError="1"/>
      <sheetData sheetId="6" refreshError="1"/>
      <sheetData sheetId="7" refreshError="1"/>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روکش"/>
      <sheetName val="کمیت سنجه"/>
      <sheetName val="عملیات-فعالیت ها "/>
      <sheetName val="خروجی1"/>
      <sheetName val="سیاست ها و برنامه ها "/>
      <sheetName val="ورود اطلاعات پایه"/>
      <sheetName val="ورود اطلاعات خاص"/>
      <sheetName val="سنجه عملکرد"/>
      <sheetName val="امکان سنجی منابع انسانی"/>
      <sheetName val="امکان سنجی منابع انسانی (2)"/>
      <sheetName val="امکان سنجی مواد و تجهیزات"/>
      <sheetName val="قیمت تمام شده موضوعات"/>
      <sheetName val="قیمت تمام شده پروژه "/>
      <sheetName val="ارزیابی و پایش فرایندها"/>
      <sheetName val="شاخص عملیات"/>
      <sheetName val="نرخ تسهیم"/>
      <sheetName val="برش استانی"/>
      <sheetName val="جدول 3 منابع مالی "/>
    </sheetNames>
    <sheetDataSet>
      <sheetData sheetId="0">
        <row r="1">
          <cell r="A1" t="str">
            <v xml:space="preserve"> عنوان هدف کمی:</v>
          </cell>
        </row>
      </sheetData>
      <sheetData sheetId="1" refreshError="1"/>
      <sheetData sheetId="2">
        <row r="19">
          <cell r="L19">
            <v>386.75</v>
          </cell>
          <cell r="M19">
            <v>0</v>
          </cell>
        </row>
      </sheetData>
      <sheetData sheetId="3" refreshError="1"/>
      <sheetData sheetId="4">
        <row r="1">
          <cell r="A1" t="str">
            <v xml:space="preserve"> اهداف کلی 3:  ارتقاء كيفيت و بهداشت واحدهای تولیدی، توزیعی، عرضه و خدمات مرتبط با دامپزشکی</v>
          </cell>
        </row>
      </sheetData>
      <sheetData sheetId="5" refreshError="1"/>
      <sheetData sheetId="6" refreshError="1"/>
      <sheetData sheetId="7" refreshError="1"/>
      <sheetData sheetId="8">
        <row r="2">
          <cell r="D2" t="str">
            <v>نیروی انسانی مورد نیاز بخش دولتی (نفر)</v>
          </cell>
        </row>
      </sheetData>
      <sheetData sheetId="9">
        <row r="14">
          <cell r="D14">
            <v>12.032222222222222</v>
          </cell>
        </row>
      </sheetData>
      <sheetData sheetId="10" refreshError="1"/>
      <sheetData sheetId="11" refreshError="1"/>
      <sheetData sheetId="12">
        <row r="4">
          <cell r="D4">
            <v>1670.902306274849</v>
          </cell>
        </row>
      </sheetData>
      <sheetData sheetId="13" refreshError="1"/>
      <sheetData sheetId="14" refreshError="1"/>
      <sheetData sheetId="15">
        <row r="3">
          <cell r="J3">
            <v>3.146869126933869E-2</v>
          </cell>
        </row>
        <row r="4">
          <cell r="J4">
            <v>2.1211888245354849E-2</v>
          </cell>
        </row>
        <row r="5">
          <cell r="J5">
            <v>9.2371173866821008E-3</v>
          </cell>
        </row>
        <row r="6">
          <cell r="J6">
            <v>5.3264950795939278E-2</v>
          </cell>
        </row>
        <row r="7">
          <cell r="J7">
            <v>4.9748431508099905E-2</v>
          </cell>
        </row>
        <row r="8">
          <cell r="J8">
            <v>6.8760015133965359E-3</v>
          </cell>
        </row>
        <row r="9">
          <cell r="J9">
            <v>8.9740496798976672E-3</v>
          </cell>
        </row>
        <row r="10">
          <cell r="J10">
            <v>0.20595956938519139</v>
          </cell>
        </row>
        <row r="11">
          <cell r="J11">
            <v>2.9972327005628042E-3</v>
          </cell>
        </row>
        <row r="12">
          <cell r="J12">
            <v>9.0258354793422927E-3</v>
          </cell>
        </row>
        <row r="13">
          <cell r="J13">
            <v>2.1796490639101565E-2</v>
          </cell>
        </row>
        <row r="14">
          <cell r="J14">
            <v>6.7292968771613865E-2</v>
          </cell>
        </row>
        <row r="15">
          <cell r="J15">
            <v>7.1948593673943767E-3</v>
          </cell>
        </row>
        <row r="16">
          <cell r="J16">
            <v>3.9031471122325183E-2</v>
          </cell>
        </row>
        <row r="17">
          <cell r="J17">
            <v>1.1127306733443346E-2</v>
          </cell>
        </row>
        <row r="18">
          <cell r="J18">
            <v>2.1025225589314862E-2</v>
          </cell>
        </row>
        <row r="19">
          <cell r="J19">
            <v>1.5516515802317988E-2</v>
          </cell>
        </row>
        <row r="20">
          <cell r="J20">
            <v>4.4592717928064136E-2</v>
          </cell>
        </row>
        <row r="21">
          <cell r="J21">
            <v>2.5737788713836841E-2</v>
          </cell>
        </row>
        <row r="22">
          <cell r="J22">
            <v>2.9724739679542766E-2</v>
          </cell>
        </row>
        <row r="23">
          <cell r="J23">
            <v>1.2123672711677849E-2</v>
          </cell>
        </row>
        <row r="24">
          <cell r="J24">
            <v>1.6344266883316763E-2</v>
          </cell>
        </row>
        <row r="25">
          <cell r="J25">
            <v>2.3524691200263629E-2</v>
          </cell>
        </row>
        <row r="26">
          <cell r="J26">
            <v>6.0931293058075963E-3</v>
          </cell>
        </row>
        <row r="27">
          <cell r="J27">
            <v>3.8093327656305034E-2</v>
          </cell>
        </row>
        <row r="28">
          <cell r="J28">
            <v>2.5159848449405237E-2</v>
          </cell>
        </row>
        <row r="29">
          <cell r="J29">
            <v>3.095362967915553E-2</v>
          </cell>
        </row>
        <row r="30">
          <cell r="J30">
            <v>6.1026394270667104E-2</v>
          </cell>
        </row>
        <row r="31">
          <cell r="J31">
            <v>4.2040584660451047E-2</v>
          </cell>
        </row>
        <row r="32">
          <cell r="J32">
            <v>2.3940350380930939E-2</v>
          </cell>
        </row>
        <row r="33">
          <cell r="J33">
            <v>1.3830079115753461E-2</v>
          </cell>
        </row>
        <row r="34">
          <cell r="J34">
            <v>2.5066173375505232E-2</v>
          </cell>
        </row>
      </sheetData>
      <sheetData sheetId="16" refreshError="1"/>
      <sheetData sheetId="17"/>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روکش"/>
      <sheetName val="کمیت سنجه"/>
      <sheetName val="عملیات-فعالیت ها "/>
      <sheetName val="خروجی1"/>
      <sheetName val="سیاست ها و برنامه ها "/>
      <sheetName val="ورود اطلاعات پایه"/>
      <sheetName val="ورود اطلاعات خاص"/>
      <sheetName val="سنجه عملکرد"/>
      <sheetName val="امکان سنجی منابع انسانی"/>
      <sheetName val="امکان سنجی منابع انسانی (2)"/>
      <sheetName val="امکان سنجی مواد و تجهیزات"/>
      <sheetName val="قیمت تمام شده موضوعات"/>
      <sheetName val="قیمت تمام شده پروژه "/>
      <sheetName val="ارزیابی و پایش فرایندها"/>
      <sheetName val="شاخص عملیات"/>
      <sheetName val="نرخ تسهیم"/>
      <sheetName val="برش استانی"/>
      <sheetName val="جدول 3 منابع مالی "/>
    </sheetNames>
    <sheetDataSet>
      <sheetData sheetId="0">
        <row r="1">
          <cell r="A1" t="str">
            <v xml:space="preserve"> عنوان هدف کمی:</v>
          </cell>
          <cell r="B1" t="str">
            <v xml:space="preserve"> افزايش صدور کد IR و EC و ...</v>
          </cell>
        </row>
        <row r="2">
          <cell r="A2" t="str">
            <v>عنوان سنجه عملکرد:</v>
          </cell>
          <cell r="B2" t="str">
            <v>صدور کد</v>
          </cell>
          <cell r="C2" t="str">
            <v>شاخص سنجه:</v>
          </cell>
          <cell r="D2">
            <v>40</v>
          </cell>
        </row>
      </sheetData>
      <sheetData sheetId="1" refreshError="1"/>
      <sheetData sheetId="2"/>
      <sheetData sheetId="3" refreshError="1"/>
      <sheetData sheetId="4">
        <row r="1">
          <cell r="A1" t="str">
            <v xml:space="preserve"> اهداف کلی 3:  ارتقاء كيفيت و بهداشت واحدهای تولیدی، توزیعی، عرضه و خدمات مرتبط با دامپزشکی</v>
          </cell>
        </row>
        <row r="2">
          <cell r="A2" t="str">
            <v xml:space="preserve"> راهبرد 12-3: توسعه رقابت پذیری تولیدات برای صادرات</v>
          </cell>
        </row>
      </sheetData>
      <sheetData sheetId="5" refreshError="1"/>
      <sheetData sheetId="6" refreshError="1"/>
      <sheetData sheetId="7" refreshError="1"/>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روکش"/>
      <sheetName val="کمیت سنجه"/>
      <sheetName val="عملیات-فعالیت ها  "/>
      <sheetName val="سیاست ها و برنامه ها "/>
      <sheetName val="خروجی1"/>
      <sheetName val="ورود اطلاعات پایه"/>
      <sheetName val="ورود اطلاعات خاص"/>
      <sheetName val="سنجه عملکرد"/>
      <sheetName val="امکان سنجی منابع انسانی"/>
      <sheetName val="امکان سنجی منابع انسانی (2)"/>
      <sheetName val="امکان سنجی مواد و تجهیزات"/>
      <sheetName val="قیمت تمام شده موضوعات"/>
      <sheetName val="قیمت تمام شده پروژه "/>
      <sheetName val="ارزیابی و پایش فرایندها"/>
      <sheetName val="شاخص عملیات"/>
      <sheetName val="نرخ تسهیم"/>
      <sheetName val="برش استانی"/>
      <sheetName val="جدول 3 منابع مالی "/>
    </sheetNames>
    <sheetDataSet>
      <sheetData sheetId="0">
        <row r="1">
          <cell r="A1" t="str">
            <v xml:space="preserve"> عنوان هدف کمی:</v>
          </cell>
        </row>
      </sheetData>
      <sheetData sheetId="1" refreshError="1"/>
      <sheetData sheetId="2">
        <row r="17">
          <cell r="L17">
            <v>24280.670239999999</v>
          </cell>
          <cell r="M17">
            <v>0</v>
          </cell>
        </row>
      </sheetData>
      <sheetData sheetId="3">
        <row r="1">
          <cell r="A1" t="str">
            <v xml:space="preserve"> اهداف کلی 3:  ارتقاء كيفيت و بهداشت واحدهای تولیدی، توزیعی، عرضه و خدمات مرتبط با دامپزشکی</v>
          </cell>
        </row>
      </sheetData>
      <sheetData sheetId="4" refreshError="1"/>
      <sheetData sheetId="5" refreshError="1"/>
      <sheetData sheetId="6" refreshError="1"/>
      <sheetData sheetId="7" refreshError="1"/>
      <sheetData sheetId="8" refreshError="1"/>
      <sheetData sheetId="9">
        <row r="2">
          <cell r="D2" t="str">
            <v>نیروی انسانی مورد نیاز بخش دولتی (نفر)</v>
          </cell>
        </row>
      </sheetData>
      <sheetData sheetId="10" refreshError="1"/>
      <sheetData sheetId="11" refreshError="1"/>
      <sheetData sheetId="12">
        <row r="4">
          <cell r="D4">
            <v>4162.0508230336636</v>
          </cell>
        </row>
      </sheetData>
      <sheetData sheetId="13" refreshError="1"/>
      <sheetData sheetId="14"/>
      <sheetData sheetId="15">
        <row r="3">
          <cell r="J3">
            <v>4.0271737097792221E-2</v>
          </cell>
        </row>
        <row r="4">
          <cell r="J4">
            <v>4.035489627374008E-2</v>
          </cell>
        </row>
        <row r="5">
          <cell r="J5">
            <v>1.384096590890372E-2</v>
          </cell>
        </row>
        <row r="6">
          <cell r="J6">
            <v>5.5055639053155574E-2</v>
          </cell>
        </row>
        <row r="7">
          <cell r="J7">
            <v>2.1836706319069924E-2</v>
          </cell>
        </row>
        <row r="8">
          <cell r="J8">
            <v>9.7280142540516461E-3</v>
          </cell>
        </row>
        <row r="9">
          <cell r="J9">
            <v>1.0036085116340939E-2</v>
          </cell>
        </row>
        <row r="10">
          <cell r="J10">
            <v>6.7713813857910463E-2</v>
          </cell>
        </row>
        <row r="11">
          <cell r="J11">
            <v>7.3434921347905538E-3</v>
          </cell>
        </row>
        <row r="12">
          <cell r="J12">
            <v>1.4118375252203677E-2</v>
          </cell>
        </row>
        <row r="13">
          <cell r="J13">
            <v>2.6807672518166237E-2</v>
          </cell>
        </row>
        <row r="14">
          <cell r="J14">
            <v>7.8433381481204337E-2</v>
          </cell>
        </row>
        <row r="15">
          <cell r="J15">
            <v>1.0103442949145922E-2</v>
          </cell>
        </row>
        <row r="16">
          <cell r="J16">
            <v>4.9079483468956998E-2</v>
          </cell>
        </row>
        <row r="17">
          <cell r="J17">
            <v>1.8645852574179184E-2</v>
          </cell>
        </row>
        <row r="18">
          <cell r="J18">
            <v>1.8169342705574461E-2</v>
          </cell>
        </row>
        <row r="19">
          <cell r="J19">
            <v>1.4235239258967922E-2</v>
          </cell>
        </row>
        <row r="20">
          <cell r="J20">
            <v>6.5791931757545302E-2</v>
          </cell>
        </row>
        <row r="21">
          <cell r="J21">
            <v>2.4957044716104982E-2</v>
          </cell>
        </row>
        <row r="22">
          <cell r="J22">
            <v>3.0082346077850968E-2</v>
          </cell>
        </row>
        <row r="23">
          <cell r="J23">
            <v>1.464450834922215E-2</v>
          </cell>
        </row>
        <row r="24">
          <cell r="J24">
            <v>1.5752624623475507E-2</v>
          </cell>
        </row>
        <row r="25">
          <cell r="J25">
            <v>3.8588146415237091E-2</v>
          </cell>
        </row>
        <row r="26">
          <cell r="J26">
            <v>8.8633861609992894E-3</v>
          </cell>
        </row>
        <row r="27">
          <cell r="J27">
            <v>4.9153123235216915E-2</v>
          </cell>
        </row>
        <row r="28">
          <cell r="J28">
            <v>3.1689819604853377E-2</v>
          </cell>
        </row>
        <row r="29">
          <cell r="J29">
            <v>5.4034461186203482E-2</v>
          </cell>
        </row>
        <row r="30">
          <cell r="J30">
            <v>7.6718487842610275E-2</v>
          </cell>
        </row>
        <row r="31">
          <cell r="J31">
            <v>3.1267504912184642E-2</v>
          </cell>
        </row>
        <row r="32">
          <cell r="J32">
            <v>1.8842587028000804E-2</v>
          </cell>
        </row>
        <row r="33">
          <cell r="J33">
            <v>1.9405356982221667E-2</v>
          </cell>
        </row>
        <row r="34">
          <cell r="J34">
            <v>2.4434530884119555E-2</v>
          </cell>
        </row>
      </sheetData>
      <sheetData sheetId="16" refreshError="1"/>
      <sheetData sheetId="17"/>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روکش"/>
      <sheetName val="کمیت سنجه"/>
      <sheetName val="عملیات-فعالیت ها  "/>
      <sheetName val="سیاست ها و برنامه ها "/>
      <sheetName val="خروجی1"/>
      <sheetName val="ورود اطلاعات پایه"/>
      <sheetName val="ورود اطلاعات خاص"/>
      <sheetName val="سنجه عملکرد"/>
      <sheetName val="امکان سنجی منابع انسانی"/>
      <sheetName val="امکان سنجی منابع انسانی (2)"/>
      <sheetName val="امکان سنجی مواد و تجهیزات"/>
      <sheetName val="قیمت تمام شده موضوعات"/>
      <sheetName val="قیمت تمام شده پروژه "/>
      <sheetName val="ارزیابی و پایش فرایندها"/>
      <sheetName val="شاخص عملیات"/>
      <sheetName val="نرخ تسهیم"/>
      <sheetName val="برش استانی"/>
      <sheetName val="جدول 3 منابع مالی "/>
    </sheetNames>
    <sheetDataSet>
      <sheetData sheetId="0">
        <row r="1">
          <cell r="A1" t="str">
            <v xml:space="preserve"> عنوان هدف کمی:</v>
          </cell>
          <cell r="B1" t="str">
            <v xml:space="preserve"> افزايش تعداد واحدهاي داراي رتبه A </v>
          </cell>
        </row>
        <row r="2">
          <cell r="A2" t="str">
            <v>عنوان سنجه عملکرد:</v>
          </cell>
          <cell r="B2" t="str">
            <v>بازدید ممیزی/ارزیابی</v>
          </cell>
          <cell r="C2" t="str">
            <v>شاخص سنجه:</v>
          </cell>
          <cell r="D2">
            <v>3</v>
          </cell>
        </row>
        <row r="3">
          <cell r="D3">
            <v>0.99999999999999978</v>
          </cell>
        </row>
      </sheetData>
      <sheetData sheetId="1" refreshError="1"/>
      <sheetData sheetId="2"/>
      <sheetData sheetId="3">
        <row r="1">
          <cell r="A1" t="str">
            <v xml:space="preserve"> اهداف کلی 3:  ارتقاء كيفيت و بهداشت واحدهای تولیدی، توزیعی، عرضه و خدمات مرتبط با دامپزشکی</v>
          </cell>
        </row>
        <row r="2">
          <cell r="A2" t="str">
            <v xml:space="preserve"> راهبرد 13-3: رتبه بندی واحدهای تولیدی، توزیعی، عرضه و خدمات مرتبط با دامپزشکی</v>
          </cell>
        </row>
      </sheetData>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روکش"/>
      <sheetName val="کمیت سنجه"/>
      <sheetName val="عملیات-فعالیت ها "/>
      <sheetName val="خروجی1"/>
      <sheetName val="سیاست ها و برنامه ها "/>
      <sheetName val="ورود اطلاعات پایه"/>
      <sheetName val="ورود اطلاعات خاص"/>
      <sheetName val="سنجه عملکرد"/>
      <sheetName val="امکان سنجی منابع انسانی"/>
      <sheetName val="امکان سنجی منابع انسانی (2)"/>
      <sheetName val="امکان سنجی مواد و تجهیزات"/>
      <sheetName val="قیمت تمام شده موضوعات"/>
      <sheetName val="قیمت تمام شده پروژه "/>
      <sheetName val="ارزیابی و پایش فرایندها"/>
      <sheetName val="شاخص عملیات"/>
      <sheetName val="نرخ تسهیم"/>
      <sheetName val="برش استانی"/>
      <sheetName val="جدول 3 منابع مالی "/>
    </sheetNames>
    <sheetDataSet>
      <sheetData sheetId="0">
        <row r="4">
          <cell r="E4">
            <v>0</v>
          </cell>
        </row>
      </sheetData>
      <sheetData sheetId="1"/>
      <sheetData sheetId="2">
        <row r="9">
          <cell r="L9">
            <v>1662516.6666666667</v>
          </cell>
          <cell r="M9">
            <v>0</v>
          </cell>
        </row>
      </sheetData>
      <sheetData sheetId="3"/>
      <sheetData sheetId="4"/>
      <sheetData sheetId="5"/>
      <sheetData sheetId="6"/>
      <sheetData sheetId="7"/>
      <sheetData sheetId="8"/>
      <sheetData sheetId="9"/>
      <sheetData sheetId="10"/>
      <sheetData sheetId="11"/>
      <sheetData sheetId="12">
        <row r="4">
          <cell r="D4">
            <v>2163.93987458225</v>
          </cell>
        </row>
      </sheetData>
      <sheetData sheetId="13"/>
      <sheetData sheetId="14"/>
      <sheetData sheetId="15">
        <row r="3">
          <cell r="P3">
            <v>3.4880252027092218E-2</v>
          </cell>
        </row>
        <row r="4">
          <cell r="P4">
            <v>4.258775967203221E-2</v>
          </cell>
        </row>
        <row r="5">
          <cell r="P5">
            <v>1.1097785875442743E-2</v>
          </cell>
        </row>
        <row r="6">
          <cell r="P6">
            <v>5.164831624407773E-2</v>
          </cell>
        </row>
        <row r="7">
          <cell r="P7">
            <v>1.9647643726254525E-2</v>
          </cell>
        </row>
        <row r="8">
          <cell r="P8">
            <v>8.9850677882885432E-3</v>
          </cell>
        </row>
        <row r="9">
          <cell r="P9">
            <v>1.0488686746025305E-2</v>
          </cell>
        </row>
        <row r="10">
          <cell r="P10">
            <v>8.8940097570591237E-2</v>
          </cell>
        </row>
        <row r="11">
          <cell r="P11">
            <v>6.8626424011918241E-3</v>
          </cell>
        </row>
        <row r="12">
          <cell r="P12">
            <v>1.5584307587965562E-2</v>
          </cell>
        </row>
        <row r="13">
          <cell r="P13">
            <v>2.3964154144282396E-2</v>
          </cell>
        </row>
        <row r="14">
          <cell r="P14">
            <v>7.755381751543082E-2</v>
          </cell>
        </row>
        <row r="15">
          <cell r="P15">
            <v>1.0575910118349784E-2</v>
          </cell>
        </row>
        <row r="16">
          <cell r="P16">
            <v>4.7719098399916463E-2</v>
          </cell>
        </row>
        <row r="17">
          <cell r="P17">
            <v>1.9216399335185264E-2</v>
          </cell>
        </row>
        <row r="18">
          <cell r="P18">
            <v>1.7439592840655521E-2</v>
          </cell>
        </row>
        <row r="19">
          <cell r="P19">
            <v>1.3545644490053204E-2</v>
          </cell>
        </row>
        <row r="20">
          <cell r="P20">
            <v>6.223190151707958E-2</v>
          </cell>
        </row>
        <row r="21">
          <cell r="P21">
            <v>2.1161095870921631E-2</v>
          </cell>
        </row>
        <row r="22">
          <cell r="P22">
            <v>2.9315795071634093E-2</v>
          </cell>
        </row>
        <row r="23">
          <cell r="P23">
            <v>1.6741470101065407E-2</v>
          </cell>
        </row>
        <row r="24">
          <cell r="P24">
            <v>1.4164626864200471E-2</v>
          </cell>
        </row>
        <row r="25">
          <cell r="P25">
            <v>4.1707442404230133E-2</v>
          </cell>
        </row>
        <row r="26">
          <cell r="P26">
            <v>8.0098920541424382E-3</v>
          </cell>
        </row>
        <row r="27">
          <cell r="P27">
            <v>5.1765660638020801E-2</v>
          </cell>
        </row>
        <row r="28">
          <cell r="P28">
            <v>2.8054387362968346E-2</v>
          </cell>
        </row>
        <row r="29">
          <cell r="P29">
            <v>5.8301375700021321E-2</v>
          </cell>
        </row>
        <row r="30">
          <cell r="P30">
            <v>7.7617686967764887E-2</v>
          </cell>
        </row>
        <row r="31">
          <cell r="P31">
            <v>2.9631837241828326E-2</v>
          </cell>
        </row>
        <row r="32">
          <cell r="P32">
            <v>1.8575934461635239E-2</v>
          </cell>
        </row>
        <row r="33">
          <cell r="P33">
            <v>1.9410826242069325E-2</v>
          </cell>
        </row>
        <row r="34">
          <cell r="P34">
            <v>2.2572891019582972E-2</v>
          </cell>
        </row>
      </sheetData>
      <sheetData sheetId="16"/>
      <sheetData sheetId="17"/>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روکش"/>
      <sheetName val="کمیت سنجه"/>
      <sheetName val="عملیات-فعالیت ها "/>
      <sheetName val="خروجی1"/>
      <sheetName val="سیاست ها و برنامه ها "/>
      <sheetName val="ورود اطلاعات پایه"/>
      <sheetName val="ورود اطلاعات خاص"/>
      <sheetName val="سنجه عملکرد"/>
      <sheetName val="امکان سنجی منابع انسانی"/>
      <sheetName val="امکان سنجی منابع انسانی (2)"/>
      <sheetName val="امکان سنجی مواد و تجهیزات"/>
      <sheetName val="قیمت تمام شده موضوعات"/>
      <sheetName val="قیمت تمام شده پروژه "/>
      <sheetName val="ارزیابی و پایش فرایندها"/>
      <sheetName val="شاخص عملیات"/>
      <sheetName val="نرخ تسهیم"/>
      <sheetName val="برش استانی"/>
      <sheetName val="جدول 3 منابع مالی "/>
    </sheetNames>
    <sheetDataSet>
      <sheetData sheetId="0">
        <row r="1">
          <cell r="A1" t="str">
            <v xml:space="preserve"> عنوان هدف کمی:</v>
          </cell>
          <cell r="B1" t="str">
            <v xml:space="preserve"> افزایش میزان دامداران دارای گواهی بهداشتی آموزشی،  افزایش میزان شاغلین دارای گواهی آموزش های بهداشتی صنایع مرتبط</v>
          </cell>
        </row>
        <row r="2">
          <cell r="A2" t="str">
            <v>عنوان سنجه عملکرد:</v>
          </cell>
          <cell r="B2" t="str">
            <v>ساعت/نفر</v>
          </cell>
          <cell r="C2" t="str">
            <v>شاخص سنجه:</v>
          </cell>
          <cell r="D2">
            <v>0.04</v>
          </cell>
        </row>
      </sheetData>
      <sheetData sheetId="1" refreshError="1"/>
      <sheetData sheetId="2"/>
      <sheetData sheetId="3" refreshError="1"/>
      <sheetData sheetId="4">
        <row r="1">
          <cell r="A1" t="str">
            <v xml:space="preserve"> اهداف کلی 4: دسترسی كمي و كيفي  به بسته خدمات دامپزشکی</v>
          </cell>
        </row>
      </sheetData>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روکش"/>
      <sheetName val="کمیت سنجه"/>
      <sheetName val="عملیات-فعالیت ها "/>
      <sheetName val="خروجی1"/>
      <sheetName val="سیاست ها و برنامه ها "/>
      <sheetName val="ورود اطلاعات پایه"/>
      <sheetName val="ورود اطلاعات خاص"/>
      <sheetName val="سنجه عملکرد"/>
      <sheetName val="امکان سنجی منابع انسانی"/>
      <sheetName val="امکان سنجی منابع انسانی (2)"/>
      <sheetName val="امکان سنجی مواد و تجهیزات"/>
      <sheetName val="قیمت تمام شده موضوعات"/>
      <sheetName val="قیمت تمام شده پروژه "/>
      <sheetName val="ارزیابی و پایش فرایندها"/>
      <sheetName val="شاخص عملیات"/>
      <sheetName val="نرخ تسهیم"/>
      <sheetName val="برش استانی"/>
      <sheetName val="جدول 3 منابع مالی "/>
    </sheetNames>
    <sheetDataSet>
      <sheetData sheetId="0">
        <row r="1">
          <cell r="A1" t="str">
            <v xml:space="preserve"> عنوان هدف کمی:</v>
          </cell>
        </row>
      </sheetData>
      <sheetData sheetId="1" refreshError="1"/>
      <sheetData sheetId="2">
        <row r="35">
          <cell r="L35">
            <v>49401.080666666669</v>
          </cell>
          <cell r="M35">
            <v>0</v>
          </cell>
        </row>
      </sheetData>
      <sheetData sheetId="3" refreshError="1"/>
      <sheetData sheetId="4">
        <row r="1">
          <cell r="A1" t="str">
            <v xml:space="preserve"> اهداف کلی 4: دسترسی كمي و كيفي  به بسته خدمات دامپزشکی</v>
          </cell>
        </row>
      </sheetData>
      <sheetData sheetId="5" refreshError="1"/>
      <sheetData sheetId="6" refreshError="1"/>
      <sheetData sheetId="7">
        <row r="15">
          <cell r="B15">
            <v>250</v>
          </cell>
        </row>
      </sheetData>
      <sheetData sheetId="8" refreshError="1"/>
      <sheetData sheetId="9">
        <row r="2">
          <cell r="D2" t="str">
            <v>نیروی انسانی مورد نیاز بخش دولتی (نفر)</v>
          </cell>
        </row>
      </sheetData>
      <sheetData sheetId="10" refreshError="1"/>
      <sheetData sheetId="11" refreshError="1"/>
      <sheetData sheetId="12">
        <row r="4">
          <cell r="D4">
            <v>1715.9428945303086</v>
          </cell>
        </row>
      </sheetData>
      <sheetData sheetId="13" refreshError="1"/>
      <sheetData sheetId="14" refreshError="1"/>
      <sheetData sheetId="15">
        <row r="4">
          <cell r="O4">
            <v>5.7875467593452357E-2</v>
          </cell>
        </row>
        <row r="5">
          <cell r="O5">
            <v>9.1130979226912129E-2</v>
          </cell>
        </row>
        <row r="6">
          <cell r="O6">
            <v>2.7180113018332307E-2</v>
          </cell>
        </row>
        <row r="7">
          <cell r="O7">
            <v>7.9404663995967406E-2</v>
          </cell>
        </row>
        <row r="8">
          <cell r="O8">
            <v>2.1542461464993494E-2</v>
          </cell>
        </row>
        <row r="9">
          <cell r="O9">
            <v>1.1540604356246514E-2</v>
          </cell>
        </row>
        <row r="10">
          <cell r="O10">
            <v>6.8845674263125758E-3</v>
          </cell>
        </row>
        <row r="11">
          <cell r="O11">
            <v>0.10302974027007666</v>
          </cell>
        </row>
        <row r="12">
          <cell r="O12">
            <v>7.6141458626270107E-3</v>
          </cell>
        </row>
        <row r="13">
          <cell r="O13">
            <v>2.0441461279282619E-2</v>
          </cell>
        </row>
        <row r="14">
          <cell r="O14">
            <v>9.6834956092643164E-3</v>
          </cell>
        </row>
        <row r="15">
          <cell r="O15">
            <v>6.6564083516833336E-2</v>
          </cell>
        </row>
        <row r="16">
          <cell r="O16">
            <v>8.7284111108163302E-3</v>
          </cell>
        </row>
        <row r="17">
          <cell r="O17">
            <v>4.06308863714748E-2</v>
          </cell>
        </row>
        <row r="18">
          <cell r="O18">
            <v>1.1885495980686066E-2</v>
          </cell>
        </row>
        <row r="19">
          <cell r="O19">
            <v>1.5679303849521129E-2</v>
          </cell>
        </row>
        <row r="20">
          <cell r="O20">
            <v>1.0320218608229643E-2</v>
          </cell>
        </row>
        <row r="21">
          <cell r="O21">
            <v>6.872628870081976E-2</v>
          </cell>
        </row>
        <row r="22">
          <cell r="O22">
            <v>2.5972992332793883E-2</v>
          </cell>
        </row>
        <row r="23">
          <cell r="O23">
            <v>1.090388135728119E-2</v>
          </cell>
        </row>
        <row r="24">
          <cell r="O24">
            <v>2.053431671663173E-2</v>
          </cell>
        </row>
        <row r="25">
          <cell r="O25">
            <v>2.4222004085639237E-2</v>
          </cell>
        </row>
        <row r="26">
          <cell r="O26">
            <v>2.3983232961027241E-2</v>
          </cell>
        </row>
        <row r="27">
          <cell r="O27">
            <v>6.8978324887910211E-3</v>
          </cell>
        </row>
        <row r="28">
          <cell r="O28">
            <v>3.8680922187143495E-2</v>
          </cell>
        </row>
        <row r="29">
          <cell r="O29">
            <v>3.3547343007985564E-2</v>
          </cell>
        </row>
        <row r="30">
          <cell r="O30">
            <v>2.0812883028679056E-2</v>
          </cell>
        </row>
        <row r="31">
          <cell r="O31">
            <v>7.3700687130236364E-2</v>
          </cell>
        </row>
        <row r="32">
          <cell r="O32">
            <v>2.1449606027644386E-2</v>
          </cell>
        </row>
        <row r="33">
          <cell r="O33">
            <v>5.7968323030801452E-3</v>
          </cell>
        </row>
        <row r="34">
          <cell r="O34">
            <v>1.993738890510174E-2</v>
          </cell>
        </row>
        <row r="35">
          <cell r="O35">
            <v>1.4697689226116252E-2</v>
          </cell>
        </row>
      </sheetData>
      <sheetData sheetId="16">
        <row r="200">
          <cell r="C200">
            <v>0</v>
          </cell>
        </row>
      </sheetData>
      <sheetData sheetId="17"/>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روکش"/>
      <sheetName val="کمیت سنجه"/>
      <sheetName val="عملیات-فعالیت ها "/>
      <sheetName val="خروجی1"/>
      <sheetName val="سیاست ها و برنامه ها "/>
      <sheetName val="ورود اطلاعات پایه"/>
      <sheetName val="ورود اطلاعات خاص"/>
      <sheetName val="سنجه عملکرد"/>
      <sheetName val="امکان سنجی منابع انسانی"/>
      <sheetName val="امکان سنجی منابع انسانی (2)"/>
      <sheetName val="امکان سنجی مواد و تجهیزات"/>
      <sheetName val="قیمت تمام شده موضوعات"/>
      <sheetName val="قیمت تمام شده پروژه "/>
      <sheetName val="ارزیابی و پایش فرایندها"/>
      <sheetName val="شاخص عملیات"/>
      <sheetName val="نرخ تسهیم"/>
      <sheetName val="برش استانی"/>
      <sheetName val="جدول 3 منابع مالی "/>
    </sheetNames>
    <sheetDataSet>
      <sheetData sheetId="0">
        <row r="1">
          <cell r="A1" t="str">
            <v xml:space="preserve"> عنوان هدف کمی:</v>
          </cell>
          <cell r="B1" t="str">
            <v>افزایش تعداد شاغلین بخش غیر دولتی دامپزشکی در شهرستان ها و مناطق کمتر توسعه یافته با جمعیت 100000 واحد دامی،
 افزایش درمانگاه های دامپزشکی ویژه مناطق روستایی و عشایری</v>
          </cell>
        </row>
        <row r="2">
          <cell r="A2" t="str">
            <v>عنوان سنجه عملکرد:</v>
          </cell>
          <cell r="B2" t="str">
            <v xml:space="preserve"> مورد بازرسی و نظارت</v>
          </cell>
          <cell r="C2" t="str">
            <v>شاخص سنجه:</v>
          </cell>
          <cell r="D2">
            <v>1.2</v>
          </cell>
        </row>
      </sheetData>
      <sheetData sheetId="1"/>
      <sheetData sheetId="2"/>
      <sheetData sheetId="3"/>
      <sheetData sheetId="4">
        <row r="1">
          <cell r="A1" t="str">
            <v xml:space="preserve"> اهداف کلی 4: دسترسی كمي و كيفي  به بسته خدمات دامپزشکی</v>
          </cell>
        </row>
        <row r="2">
          <cell r="A2" t="str">
            <v xml:space="preserve"> راهبرد 18-4: توسعه خدمات دامپزشکی در مناطق روستایی/ عشایری</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روکش"/>
      <sheetName val="کمیت سنجه"/>
      <sheetName val="عملیات-فعالیت ها "/>
      <sheetName val="سیاست ها و برنامه ها "/>
      <sheetName val="خروجی1"/>
      <sheetName val="ورود اطلاعات پایه"/>
      <sheetName val="ورود اطلاعات خاص"/>
      <sheetName val="سنجه عملکرد"/>
      <sheetName val="امکان سنجی منابع انسانی"/>
      <sheetName val="امکان سنجی منابع انسانی (2)"/>
      <sheetName val="امکان سنجی مواد و تجهیزات"/>
      <sheetName val="قیمت تمام شده موضوعات"/>
      <sheetName val="قیمت تمام شده پروژه "/>
      <sheetName val="ارزیابی و پایش فرایندها"/>
      <sheetName val="شاخص عملیات"/>
      <sheetName val="نرخ تسهیم"/>
      <sheetName val="برش استانی"/>
      <sheetName val="جدول 3 منابع مالی "/>
    </sheetNames>
    <sheetDataSet>
      <sheetData sheetId="0">
        <row r="1">
          <cell r="A1" t="str">
            <v xml:space="preserve"> عنوان هدف کمی:</v>
          </cell>
        </row>
      </sheetData>
      <sheetData sheetId="1" refreshError="1"/>
      <sheetData sheetId="2">
        <row r="19">
          <cell r="L19">
            <v>6798.1133493975904</v>
          </cell>
          <cell r="M19">
            <v>0</v>
          </cell>
        </row>
      </sheetData>
      <sheetData sheetId="3">
        <row r="1">
          <cell r="A1" t="str">
            <v xml:space="preserve"> اهداف کلی 4: دسترسی كمي و كيفي  به بسته خدمات دامپزشکی</v>
          </cell>
        </row>
      </sheetData>
      <sheetData sheetId="4" refreshError="1"/>
      <sheetData sheetId="5" refreshError="1"/>
      <sheetData sheetId="6" refreshError="1"/>
      <sheetData sheetId="7" refreshError="1"/>
      <sheetData sheetId="8" refreshError="1"/>
      <sheetData sheetId="9">
        <row r="2">
          <cell r="D2" t="str">
            <v>نیروی انسانی مورد نیاز بخش دولتی (نفر)</v>
          </cell>
        </row>
      </sheetData>
      <sheetData sheetId="10" refreshError="1"/>
      <sheetData sheetId="11" refreshError="1"/>
      <sheetData sheetId="12">
        <row r="4">
          <cell r="D4">
            <v>22790.329676645244</v>
          </cell>
        </row>
      </sheetData>
      <sheetData sheetId="13" refreshError="1"/>
      <sheetData sheetId="14" refreshError="1"/>
      <sheetData sheetId="15">
        <row r="3">
          <cell r="Q3">
            <v>4.9164195974075085E-2</v>
          </cell>
        </row>
        <row r="4">
          <cell r="Q4">
            <v>5.7629294807432847E-2</v>
          </cell>
        </row>
        <row r="5">
          <cell r="Q5">
            <v>1.6611633304710393E-2</v>
          </cell>
        </row>
        <row r="6">
          <cell r="Q6">
            <v>4.9608590903098396E-2</v>
          </cell>
        </row>
        <row r="7">
          <cell r="Q7">
            <v>2.3121665918886005E-2</v>
          </cell>
        </row>
        <row r="8">
          <cell r="Q8">
            <v>7.875177457832944E-3</v>
          </cell>
        </row>
        <row r="9">
          <cell r="Q9">
            <v>2.2283838679723434E-2</v>
          </cell>
        </row>
        <row r="10">
          <cell r="Q10">
            <v>5.9978513316399348E-2</v>
          </cell>
        </row>
        <row r="11">
          <cell r="Q11">
            <v>3.2615077658171734E-3</v>
          </cell>
        </row>
        <row r="12">
          <cell r="Q12">
            <v>1.2265935516229726E-2</v>
          </cell>
        </row>
        <row r="13">
          <cell r="Q13">
            <v>1.804854748728401E-2</v>
          </cell>
        </row>
        <row r="14">
          <cell r="Q14">
            <v>8.8605988711688677E-2</v>
          </cell>
        </row>
        <row r="15">
          <cell r="Q15">
            <v>8.3521077191026343E-3</v>
          </cell>
        </row>
        <row r="16">
          <cell r="Q16">
            <v>5.0370930871754177E-2</v>
          </cell>
        </row>
        <row r="17">
          <cell r="Q17">
            <v>1.6925008291116071E-2</v>
          </cell>
        </row>
        <row r="18">
          <cell r="Q18">
            <v>1.5453791142313432E-2</v>
          </cell>
        </row>
        <row r="19">
          <cell r="Q19">
            <v>3.1334424060685422E-2</v>
          </cell>
        </row>
        <row r="20">
          <cell r="Q20">
            <v>4.7511916753122836E-2</v>
          </cell>
        </row>
        <row r="21">
          <cell r="Q21">
            <v>2.230132393527702E-2</v>
          </cell>
        </row>
        <row r="22">
          <cell r="Q22">
            <v>2.1473194527573247E-2</v>
          </cell>
        </row>
        <row r="23">
          <cell r="Q23">
            <v>1.8596960389792638E-2</v>
          </cell>
        </row>
        <row r="24">
          <cell r="Q24">
            <v>1.9722473113341268E-2</v>
          </cell>
        </row>
        <row r="25">
          <cell r="Q25">
            <v>3.3264846198044623E-2</v>
          </cell>
        </row>
        <row r="26">
          <cell r="Q26">
            <v>9.6156800100504931E-3</v>
          </cell>
        </row>
        <row r="27">
          <cell r="Q27">
            <v>3.352410027942497E-2</v>
          </cell>
        </row>
        <row r="28">
          <cell r="Q28">
            <v>4.2083550778308637E-2</v>
          </cell>
        </row>
        <row r="29">
          <cell r="Q29">
            <v>3.2122472952075209E-2</v>
          </cell>
        </row>
        <row r="30">
          <cell r="Q30">
            <v>0.10732061535376121</v>
          </cell>
        </row>
        <row r="31">
          <cell r="Q31">
            <v>2.3379444532018175E-2</v>
          </cell>
        </row>
        <row r="32">
          <cell r="Q32">
            <v>2.0020412263494484E-2</v>
          </cell>
        </row>
        <row r="33">
          <cell r="Q33">
            <v>1.4167046796549728E-2</v>
          </cell>
        </row>
        <row r="34">
          <cell r="Q34">
            <v>2.4004810189015884E-2</v>
          </cell>
        </row>
      </sheetData>
      <sheetData sheetId="16" refreshError="1"/>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gration"/>
      <sheetName val="Problem Statement"/>
      <sheetName val="Objectives"/>
      <sheetName val="PCWBS1"/>
      <sheetName val="PCWBS2"/>
      <sheetName val="PCWBS3"/>
      <sheetName val="PCWBS4"/>
      <sheetName val="PCWBS5"/>
      <sheetName val="PCWBS6"/>
      <sheetName val="PCWBS7"/>
      <sheetName val="PCWBS8"/>
      <sheetName val="PCWBS9"/>
      <sheetName val="PCWBS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روکش"/>
      <sheetName val="کمیت سنجه"/>
      <sheetName val="عملیات-فعالیت ها "/>
      <sheetName val="سیاست ها و برنامه ها "/>
      <sheetName val="خروجی1"/>
      <sheetName val="ورود اطلاعات پایه"/>
      <sheetName val="ورود اطلاعات خاص"/>
      <sheetName val="سنجه عملکرد"/>
      <sheetName val="امکان سنجی منابع انسانی"/>
      <sheetName val="امکان سنجی منابع انسانی (2)"/>
      <sheetName val="امکان سنجی مواد و تجهیزات"/>
      <sheetName val="قیمت تمام شده موضوعات"/>
      <sheetName val="قیمت تمام شده پروژه "/>
      <sheetName val="ارزیابی و پایش فرایندها"/>
      <sheetName val="شاخص عملیات"/>
      <sheetName val="نرخ تسهیم"/>
      <sheetName val="برش استانی"/>
      <sheetName val="جدول 3 منابع مالی "/>
    </sheetNames>
    <sheetDataSet>
      <sheetData sheetId="0">
        <row r="1">
          <cell r="A1" t="str">
            <v xml:space="preserve"> عنوان هدف کمی:</v>
          </cell>
          <cell r="B1" t="str">
            <v xml:space="preserve"> استفاده از فناوری های نوین هوشمند و افزایش تعداد کاربران سامانه های الکترونیکی سازمان </v>
          </cell>
        </row>
        <row r="2">
          <cell r="A2" t="str">
            <v>عنوان سنجه عملکرد:</v>
          </cell>
          <cell r="B2" t="str">
            <v>هزار مورد کاربری سامانه</v>
          </cell>
          <cell r="C2" t="str">
            <v>شاخص سنجه:</v>
          </cell>
          <cell r="D2">
            <v>83</v>
          </cell>
        </row>
        <row r="3">
          <cell r="D3">
            <v>1.0000000000000002</v>
          </cell>
        </row>
      </sheetData>
      <sheetData sheetId="1" refreshError="1"/>
      <sheetData sheetId="2"/>
      <sheetData sheetId="3">
        <row r="1">
          <cell r="A1" t="str">
            <v xml:space="preserve"> اهداف کلی 4: دسترسی كمي و كيفي  به بسته خدمات دامپزشکی</v>
          </cell>
        </row>
        <row r="2">
          <cell r="A2" t="str">
            <v>راهبرد 21-4:  توسعه ارتباطات و ارائه خدمات به ذینفعان با استفاده از فناوری های نوین هوشمند و مدیریت دانش اطلاعات</v>
          </cell>
        </row>
      </sheetData>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فرم شماره 2"/>
      <sheetName val=" فرم شماره 3"/>
      <sheetName val="فرم شماره 3.1"/>
      <sheetName val="فرم شماره 4 -الف"/>
      <sheetName val="فرم شماره 5"/>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فرم شماره 2"/>
      <sheetName val=" فرم شماره 3"/>
      <sheetName val="فرم شماره 3.1"/>
      <sheetName val="فرم شماره 4 -الف"/>
      <sheetName val="فرم شماره 5"/>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فرم شماره 2"/>
      <sheetName val=" فرم شماره 3"/>
      <sheetName val="فرم شماره 3.1"/>
      <sheetName val="فرم شماره 4 -الف"/>
      <sheetName val="فرم شماره 5"/>
    </sheetNames>
    <sheetDataSet>
      <sheetData sheetId="0"/>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فرم شماره 2"/>
      <sheetName val=" فرم شماره 3"/>
      <sheetName val="فرم شماره 3.1"/>
      <sheetName val="فرم شماره 4 -الف"/>
      <sheetName val="فرم شماره 5"/>
    </sheetNames>
    <sheetDataSet>
      <sheetData sheetId="0"/>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فرم شماره 2"/>
      <sheetName val=" فرم شماره 3"/>
      <sheetName val="فرم شماره 3.1"/>
      <sheetName val="فرم شماره 4 -الف"/>
      <sheetName val="فرم شماره 5"/>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Trek">
      <a:dk1>
        <a:sysClr val="windowText" lastClr="000000"/>
      </a:dk1>
      <a:lt1>
        <a:sysClr val="window" lastClr="FFFFFF"/>
      </a:lt1>
      <a:dk2>
        <a:srgbClr val="4E3B30"/>
      </a:dk2>
      <a:lt2>
        <a:srgbClr val="FBEEC9"/>
      </a:lt2>
      <a:accent1>
        <a:srgbClr val="F0A22E"/>
      </a:accent1>
      <a:accent2>
        <a:srgbClr val="A5644E"/>
      </a:accent2>
      <a:accent3>
        <a:srgbClr val="B58B80"/>
      </a:accent3>
      <a:accent4>
        <a:srgbClr val="C3986D"/>
      </a:accent4>
      <a:accent5>
        <a:srgbClr val="A19574"/>
      </a:accent5>
      <a:accent6>
        <a:srgbClr val="C17529"/>
      </a:accent6>
      <a:hlink>
        <a:srgbClr val="AD1F1F"/>
      </a:hlink>
      <a:folHlink>
        <a:srgbClr val="FFC42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3.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4.x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6.xml"/><Relationship Id="rId1" Type="http://schemas.openxmlformats.org/officeDocument/2006/relationships/printerSettings" Target="../printerSettings/printerSettings17.bin"/><Relationship Id="rId4" Type="http://schemas.openxmlformats.org/officeDocument/2006/relationships/comments" Target="../comments5.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9.xml"/><Relationship Id="rId1" Type="http://schemas.openxmlformats.org/officeDocument/2006/relationships/printerSettings" Target="../printerSettings/printerSettings20.bin"/><Relationship Id="rId4" Type="http://schemas.openxmlformats.org/officeDocument/2006/relationships/comments" Target="../comments6.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1.xml"/><Relationship Id="rId1" Type="http://schemas.openxmlformats.org/officeDocument/2006/relationships/printerSettings" Target="../printerSettings/printerSettings22.bin"/><Relationship Id="rId4" Type="http://schemas.openxmlformats.org/officeDocument/2006/relationships/comments" Target="../comments7.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4.xml"/><Relationship Id="rId1" Type="http://schemas.openxmlformats.org/officeDocument/2006/relationships/printerSettings" Target="../printerSettings/printerSettings25.bin"/><Relationship Id="rId4" Type="http://schemas.openxmlformats.org/officeDocument/2006/relationships/comments" Target="../comments8.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6.xml"/><Relationship Id="rId1" Type="http://schemas.openxmlformats.org/officeDocument/2006/relationships/printerSettings" Target="../printerSettings/printerSettings27.bin"/><Relationship Id="rId4" Type="http://schemas.openxmlformats.org/officeDocument/2006/relationships/comments" Target="../comments9.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29.xml"/><Relationship Id="rId1" Type="http://schemas.openxmlformats.org/officeDocument/2006/relationships/printerSettings" Target="../printerSettings/printerSettings30.bin"/><Relationship Id="rId4" Type="http://schemas.openxmlformats.org/officeDocument/2006/relationships/comments" Target="../comments10.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31.xml"/><Relationship Id="rId1" Type="http://schemas.openxmlformats.org/officeDocument/2006/relationships/printerSettings" Target="../printerSettings/printerSettings32.bin"/><Relationship Id="rId4" Type="http://schemas.openxmlformats.org/officeDocument/2006/relationships/comments" Target="../comments11.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34.xml"/><Relationship Id="rId1" Type="http://schemas.openxmlformats.org/officeDocument/2006/relationships/printerSettings" Target="../printerSettings/printerSettings35.bin"/><Relationship Id="rId4" Type="http://schemas.openxmlformats.org/officeDocument/2006/relationships/comments" Target="../comments12.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38.xml"/><Relationship Id="rId1" Type="http://schemas.openxmlformats.org/officeDocument/2006/relationships/printerSettings" Target="../printerSettings/printerSettings39.bin"/><Relationship Id="rId4" Type="http://schemas.openxmlformats.org/officeDocument/2006/relationships/comments" Target="../comments1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42.xml"/><Relationship Id="rId1" Type="http://schemas.openxmlformats.org/officeDocument/2006/relationships/printerSettings" Target="../printerSettings/printerSettings43.bin"/><Relationship Id="rId4" Type="http://schemas.openxmlformats.org/officeDocument/2006/relationships/comments" Target="../comments14.xml"/></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44.xml"/><Relationship Id="rId1" Type="http://schemas.openxmlformats.org/officeDocument/2006/relationships/printerSettings" Target="../printerSettings/printerSettings45.bin"/><Relationship Id="rId4" Type="http://schemas.openxmlformats.org/officeDocument/2006/relationships/comments" Target="../comments15.xml"/></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47.xml"/><Relationship Id="rId1" Type="http://schemas.openxmlformats.org/officeDocument/2006/relationships/printerSettings" Target="../printerSettings/printerSettings48.bin"/><Relationship Id="rId4" Type="http://schemas.openxmlformats.org/officeDocument/2006/relationships/comments" Target="../comments16.xml"/></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52.xml"/><Relationship Id="rId1" Type="http://schemas.openxmlformats.org/officeDocument/2006/relationships/printerSettings" Target="../printerSettings/printerSettings53.bin"/><Relationship Id="rId4" Type="http://schemas.openxmlformats.org/officeDocument/2006/relationships/comments" Target="../comments17.xml"/></Relationships>
</file>

<file path=xl/worksheets/_rels/sheet54.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53.xml"/><Relationship Id="rId1" Type="http://schemas.openxmlformats.org/officeDocument/2006/relationships/printerSettings" Target="../printerSettings/printerSettings54.bin"/><Relationship Id="rId4" Type="http://schemas.openxmlformats.org/officeDocument/2006/relationships/comments" Target="../comments18.xml"/></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57.xml"/><Relationship Id="rId1" Type="http://schemas.openxmlformats.org/officeDocument/2006/relationships/printerSettings" Target="../printerSettings/printerSettings58.bin"/><Relationship Id="rId4" Type="http://schemas.openxmlformats.org/officeDocument/2006/relationships/comments" Target="../comments19.xml"/></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62.xml"/><Relationship Id="rId1" Type="http://schemas.openxmlformats.org/officeDocument/2006/relationships/printerSettings" Target="../printerSettings/printerSettings63.bin"/><Relationship Id="rId4" Type="http://schemas.openxmlformats.org/officeDocument/2006/relationships/comments" Target="../comments20.xml"/></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66.xml"/><Relationship Id="rId1" Type="http://schemas.openxmlformats.org/officeDocument/2006/relationships/printerSettings" Target="../printerSettings/printerSettings67.bin"/><Relationship Id="rId4" Type="http://schemas.openxmlformats.org/officeDocument/2006/relationships/comments" Target="../comments21.xml"/></Relationships>
</file>

<file path=xl/worksheets/_rels/sheet68.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67.xml"/><Relationship Id="rId1" Type="http://schemas.openxmlformats.org/officeDocument/2006/relationships/printerSettings" Target="../printerSettings/printerSettings68.bin"/><Relationship Id="rId4" Type="http://schemas.openxmlformats.org/officeDocument/2006/relationships/comments" Target="../comments22.xml"/></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71.xml"/><Relationship Id="rId1" Type="http://schemas.openxmlformats.org/officeDocument/2006/relationships/printerSettings" Target="../printerSettings/printerSettings72.bin"/><Relationship Id="rId4" Type="http://schemas.openxmlformats.org/officeDocument/2006/relationships/comments" Target="../comments23.xml"/></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3"/>
  <sheetViews>
    <sheetView showGridLines="0" rightToLeft="1" tabSelected="1" workbookViewId="0">
      <pane xSplit="3" topLeftCell="D1" activePane="topRight" state="frozen"/>
      <selection pane="topRight" activeCell="E5" sqref="E5"/>
    </sheetView>
  </sheetViews>
  <sheetFormatPr defaultRowHeight="18"/>
  <cols>
    <col min="1" max="1" width="5.83203125" customWidth="1"/>
    <col min="2" max="2" width="152" customWidth="1"/>
    <col min="3" max="3" width="5.83203125" customWidth="1"/>
    <col min="4" max="8" width="14.83203125" customWidth="1"/>
  </cols>
  <sheetData>
    <row r="1" spans="1:4" ht="39.75" customHeight="1">
      <c r="A1" s="349" t="s">
        <v>1320</v>
      </c>
      <c r="B1" s="349"/>
      <c r="C1" s="349"/>
    </row>
    <row r="2" spans="1:4" s="173" customFormat="1" ht="18" customHeight="1">
      <c r="A2" s="350"/>
      <c r="B2" s="202" t="s">
        <v>1341</v>
      </c>
      <c r="C2" s="350"/>
      <c r="D2" s="350"/>
    </row>
    <row r="3" spans="1:4" s="173" customFormat="1">
      <c r="A3" s="350"/>
      <c r="B3" s="202" t="s">
        <v>1325</v>
      </c>
      <c r="C3" s="350"/>
      <c r="D3" s="350"/>
    </row>
    <row r="4" spans="1:4" s="173" customFormat="1" ht="18" customHeight="1">
      <c r="A4" s="350"/>
      <c r="B4" s="202" t="s">
        <v>1326</v>
      </c>
      <c r="C4" s="350"/>
      <c r="D4" s="350"/>
    </row>
    <row r="5" spans="1:4" s="173" customFormat="1" ht="18" customHeight="1">
      <c r="A5" s="350"/>
      <c r="B5" s="202" t="s">
        <v>1321</v>
      </c>
      <c r="C5" s="350"/>
      <c r="D5" s="350"/>
    </row>
    <row r="6" spans="1:4" s="173" customFormat="1" ht="18" customHeight="1">
      <c r="A6" s="350"/>
      <c r="B6" s="202" t="s">
        <v>1322</v>
      </c>
      <c r="C6" s="350"/>
      <c r="D6" s="350"/>
    </row>
    <row r="7" spans="1:4" s="173" customFormat="1" ht="18" customHeight="1">
      <c r="A7" s="350"/>
      <c r="B7" s="202" t="s">
        <v>1323</v>
      </c>
      <c r="C7" s="350"/>
      <c r="D7" s="350"/>
    </row>
    <row r="8" spans="1:4" s="173" customFormat="1">
      <c r="A8" s="350"/>
      <c r="B8" s="202" t="s">
        <v>1327</v>
      </c>
      <c r="C8" s="350"/>
      <c r="D8" s="350"/>
    </row>
    <row r="9" spans="1:4" s="173" customFormat="1" ht="18" customHeight="1">
      <c r="A9" s="350"/>
      <c r="B9" s="202" t="s">
        <v>1328</v>
      </c>
      <c r="C9" s="350"/>
      <c r="D9" s="350"/>
    </row>
    <row r="10" spans="1:4" s="173" customFormat="1" ht="18" customHeight="1">
      <c r="A10" s="350"/>
      <c r="B10" s="202" t="s">
        <v>1329</v>
      </c>
      <c r="C10" s="350"/>
      <c r="D10" s="350"/>
    </row>
    <row r="11" spans="1:4" s="173" customFormat="1" ht="18" customHeight="1">
      <c r="A11" s="350"/>
      <c r="B11" s="202" t="s">
        <v>1330</v>
      </c>
      <c r="C11" s="350"/>
      <c r="D11" s="350"/>
    </row>
    <row r="12" spans="1:4" s="173" customFormat="1">
      <c r="A12" s="350"/>
      <c r="B12" s="202" t="s">
        <v>1331</v>
      </c>
      <c r="C12" s="350"/>
      <c r="D12" s="350"/>
    </row>
    <row r="13" spans="1:4" ht="36">
      <c r="A13" s="350"/>
      <c r="B13" s="202" t="s">
        <v>1336</v>
      </c>
      <c r="C13" s="350"/>
      <c r="D13" s="350"/>
    </row>
    <row r="14" spans="1:4" ht="36">
      <c r="A14" s="350"/>
      <c r="B14" s="202" t="s">
        <v>1337</v>
      </c>
      <c r="C14" s="350"/>
      <c r="D14" s="350"/>
    </row>
    <row r="15" spans="1:4">
      <c r="A15" s="350"/>
      <c r="B15" s="202" t="s">
        <v>1338</v>
      </c>
      <c r="C15" s="350"/>
      <c r="D15" s="350"/>
    </row>
    <row r="16" spans="1:4" ht="18" customHeight="1">
      <c r="A16" s="350"/>
      <c r="B16" s="202" t="s">
        <v>1324</v>
      </c>
      <c r="C16" s="350"/>
      <c r="D16" s="350"/>
    </row>
    <row r="17" spans="1:4" ht="18" customHeight="1">
      <c r="A17" s="350"/>
      <c r="B17" s="202" t="s">
        <v>1332</v>
      </c>
      <c r="C17" s="350"/>
      <c r="D17" s="350"/>
    </row>
    <row r="18" spans="1:4" ht="18" customHeight="1">
      <c r="A18" s="350"/>
      <c r="B18" s="202" t="s">
        <v>1333</v>
      </c>
      <c r="C18" s="350"/>
      <c r="D18" s="350"/>
    </row>
    <row r="19" spans="1:4" ht="18" customHeight="1">
      <c r="A19" s="350"/>
      <c r="B19" s="202" t="s">
        <v>1334</v>
      </c>
      <c r="C19" s="350"/>
      <c r="D19" s="350"/>
    </row>
    <row r="20" spans="1:4">
      <c r="A20" s="350"/>
      <c r="B20" s="202" t="s">
        <v>1339</v>
      </c>
      <c r="C20" s="350"/>
      <c r="D20" s="350"/>
    </row>
    <row r="21" spans="1:4" ht="36">
      <c r="A21" s="350"/>
      <c r="B21" s="202" t="s">
        <v>1335</v>
      </c>
      <c r="C21" s="350"/>
      <c r="D21" s="350"/>
    </row>
    <row r="22" spans="1:4" ht="18" customHeight="1">
      <c r="A22" s="350"/>
      <c r="B22" s="202" t="s">
        <v>1340</v>
      </c>
      <c r="C22" s="350"/>
      <c r="D22" s="350"/>
    </row>
    <row r="23" spans="1:4" ht="35.25" customHeight="1">
      <c r="A23" s="351"/>
      <c r="B23" s="351"/>
      <c r="C23" s="351"/>
    </row>
  </sheetData>
  <mergeCells count="5">
    <mergeCell ref="A1:C1"/>
    <mergeCell ref="D2:D22"/>
    <mergeCell ref="A23:C23"/>
    <mergeCell ref="A2:A22"/>
    <mergeCell ref="C2:C22"/>
  </mergeCells>
  <hyperlinks>
    <hyperlink ref="B2" location="'جدول شماره 1 کشور'!A1" display=" اهداف کلی"/>
    <hyperlink ref="B4" location="'برش استانی هدف کلی 2'!A1" display="برش استانی اهداف کلی 2:"/>
    <hyperlink ref="B5" location="'برش استانی هدف کلی 3'!A1" display="برش استانی اهداف کلی3:"/>
    <hyperlink ref="B3" location="'برش استانی هدف کلی 1'!A1" display="برش استانی هدف کلی 1:"/>
    <hyperlink ref="B6" location="'برش استانی هدف کلی 4'!A1" display="برش استانی اهداف کلی4:"/>
    <hyperlink ref="B7" location="'جدول 2 اهداف کمی'!A1" display="اهداف کمی (بر اساس هدف گذاری و بر اساس حجم عملیات )"/>
    <hyperlink ref="B8" location="'برش استانی هدف 1'!A1" display=" برش استانی/ حجم عملیات/ اهداف/ سیاست های اجرایی/ شاخص هدف کمی 1: کاهش بروز بیماری های مشترک"/>
    <hyperlink ref="B9" location="'برش استانی هدف 2'!A1" display=" برش استانی/ حجم عملیات/ اهداف/ سیاست های اجرایی/ شاخص هدف کمی 2: کاهش تلفات در گله های مرغ گوشتی و کاهش بروز بیماری ها در گله های صنعتی طیور"/>
    <hyperlink ref="B10" location="'برش استانی هدف 3'!A1" display=" برش استانی/ حجم عملیات/ اهداف/ سیاست های اجرایی/ شاخص هدف کمی 3: کاهش بروز بیماری ها در مزارع پرورشی آبزیان و کاهش تلفات در مزارع پرورش آبزیان"/>
    <hyperlink ref="B11" location="'برش استانی هدف 4'!A1" display=" برش استانی/ حجم عملیات/ اهداف/ سیاست های اجرایی/ شاخص هدف کمی 4: کاهش بروز بیماری در کلنی های زنبور عسل  و کاهش بروز بیماری در کرم ابریشم"/>
    <hyperlink ref="B12" location="'برش استانی هدف 5'!A1" display=" برش استانی/ حجم عملیات/ اهداف/ سیاست های اجرایی/ شاخص هدف کمی 5: کاهش بروز بیماری های واگیر دام در واحدهای اپیدمیولوژیک"/>
    <hyperlink ref="B13" location="'برش استانی هدف 7'!A1" display=" • برش استانی/ حجم عملیات/ اهداف/ سیاست های اجرایی/ شاخص هدف کمی 7:  افزایش سطح پایش و کنترل سموم (کلره، فسفره) و فلزات سنگین (سرب، کادمیوم، جیوه، آرسنیک)، باقیمانده های دارویی (آنتی بیوتیک ها، هورمون ها) ، آفلاتوکسین ها در فراورده های دامی (دام، طیور، آب"/>
    <hyperlink ref="B14" location="'برش استانی هدف 8'!A1" display=" • برش استانی/ حجم عملیات/ اهداف/ سیاست های اجرایی/ شاخص هدف کمی 8: افزایش موارد ارزیابی خطرات فراورده های خام دامی و خوراک دام، دارو و فراورده هاي بيولوژيك، منابع ژنتيكي دام و موجودات تراريخته"/>
    <hyperlink ref="B15" location="'برش استانی هدف 9'!A1" display="• برش استانی/ حجم عملیات/ اهداف/ سیاست های اجرایی/ شاخص هدف کمی 9: توسعه آزمایشگاه ها"/>
    <hyperlink ref="B16" location="'برش استانی هدف 10'!A1" display="• برش استانی/ حجم عملیات/ اهداف/ سیاست های اجرایی/ شاخص هدف کمی 10: افزايش تعداد ناوگان اختصاصي و بهداشتي حمل و نقل"/>
    <hyperlink ref="B17" location="'برش استانی هدف 11'!A1" display="• برش استانی/ حجم عملیات/ اهداف/ سیاست های اجرایی/ شاخص هدف کمی 11: افزايش تعداد واحدهاي داراي گواهي هاي استقرار سامانه هايGMP, HACCP و .."/>
    <hyperlink ref="B18" location="'برش استانی هدف 12'!A1" display="• برش استانی/ حجم عملیات/ اهداف/ سیاست های اجرایی/ شاخص هدف 12:  افزايش صدور کد IR و EC و …"/>
    <hyperlink ref="B19" location="'برش استانی هدف 13'!A1" display="• برش استانی/ حجم عملیات/ اهداف/ سیاست های اجرایی/ شاخص هدف 13: افزايش تعداد واحدهاي داراي رتبه A "/>
    <hyperlink ref="B20" location="'برش استانی هدف 14'!A1" display="• برش استانی/ حجم عملیات/ اهداف/ سیاست های اجرایی/ شاخص هدف کمی 14: افزایش میزان دامداران دارای گواهی بهداشتی آموزشی/ افزایش میزان شاغلین دارای گواهی آموزش های بهداشتی صنایع "/>
    <hyperlink ref="B21" location="'برش استانی هدف 15'!A1" display="• برش استانی/ حجم عملیات/ اهداف/ سیاست های اجرایی/ شاخص هدف کمی 15: افزایش تعداد شاغلین بخش غیر دولتی دامپزشکی در شهرستان ها و مناطق کمتر توسعه یافته، افزایش درمانگاه های دامپزشکی ویژه مناطق روستایی و عشایری"/>
    <hyperlink ref="B22" location="'برش استانی هدف 16'!A1" display="• برش استانی/ حجم عملیات/ اهداف/ سیاست های اجرایی/ شاخص هدف کمی 16: استفاده از فناوری های نوین هوشمند و افزایش تعداد کاربران سامانه های الکترونیکی سازمان "/>
  </hyperlinks>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99"/>
  <sheetViews>
    <sheetView showGridLines="0" rightToLeft="1" workbookViewId="0">
      <pane xSplit="25" topLeftCell="Z1" activePane="topRight" state="frozen"/>
      <selection pane="topRight" sqref="A1:M1"/>
    </sheetView>
  </sheetViews>
  <sheetFormatPr defaultColWidth="28.6640625" defaultRowHeight="5.65" customHeight="1"/>
  <cols>
    <col min="1" max="1" width="9.33203125" style="3" customWidth="1"/>
    <col min="2" max="2" width="53.33203125" style="3" customWidth="1"/>
    <col min="3" max="3" width="9" style="125" customWidth="1"/>
    <col min="4" max="9" width="6.6640625" style="126" customWidth="1"/>
    <col min="10" max="12" width="12.5" style="3" customWidth="1"/>
    <col min="13" max="13" width="12.33203125" style="2" customWidth="1"/>
    <col min="14" max="23" width="10.1640625" style="29" hidden="1" customWidth="1"/>
    <col min="24" max="25" width="10.1640625" style="30" hidden="1" customWidth="1"/>
    <col min="26" max="26" width="28.6640625" style="2"/>
    <col min="27" max="16384" width="28.6640625" style="3"/>
  </cols>
  <sheetData>
    <row r="1" spans="1:25" ht="47.25" customHeight="1">
      <c r="A1" s="380" t="s">
        <v>258</v>
      </c>
      <c r="B1" s="381"/>
      <c r="C1" s="381"/>
      <c r="D1" s="381"/>
      <c r="E1" s="381"/>
      <c r="F1" s="381"/>
      <c r="G1" s="381"/>
      <c r="H1" s="381"/>
      <c r="I1" s="381"/>
      <c r="J1" s="381"/>
      <c r="K1" s="381"/>
      <c r="L1" s="381"/>
      <c r="M1" s="381"/>
    </row>
    <row r="2" spans="1:25" ht="33.75" customHeight="1">
      <c r="A2" s="231">
        <f>$M$44</f>
        <v>8</v>
      </c>
      <c r="B2" s="382" t="s">
        <v>134</v>
      </c>
      <c r="C2" s="383" t="s">
        <v>135</v>
      </c>
      <c r="D2" s="384" t="s">
        <v>136</v>
      </c>
      <c r="E2" s="384"/>
      <c r="F2" s="384"/>
      <c r="G2" s="384"/>
      <c r="H2" s="384" t="s">
        <v>137</v>
      </c>
      <c r="I2" s="384" t="s">
        <v>138</v>
      </c>
      <c r="J2" s="385" t="s">
        <v>139</v>
      </c>
      <c r="K2" s="385" t="s">
        <v>140</v>
      </c>
      <c r="L2" s="385" t="s">
        <v>141</v>
      </c>
      <c r="M2" s="386" t="s">
        <v>142</v>
      </c>
    </row>
    <row r="3" spans="1:25" ht="31.5" customHeight="1">
      <c r="A3" s="230" t="s">
        <v>0</v>
      </c>
      <c r="B3" s="382"/>
      <c r="C3" s="383"/>
      <c r="D3" s="208" t="s">
        <v>143</v>
      </c>
      <c r="E3" s="208" t="s">
        <v>144</v>
      </c>
      <c r="F3" s="208" t="s">
        <v>145</v>
      </c>
      <c r="G3" s="208" t="s">
        <v>146</v>
      </c>
      <c r="H3" s="384"/>
      <c r="I3" s="384"/>
      <c r="J3" s="385"/>
      <c r="K3" s="385"/>
      <c r="L3" s="385"/>
      <c r="M3" s="386"/>
      <c r="N3" s="29" t="s">
        <v>147</v>
      </c>
      <c r="O3" s="29" t="s">
        <v>148</v>
      </c>
      <c r="P3" s="29" t="s">
        <v>149</v>
      </c>
      <c r="Q3" s="29" t="s">
        <v>150</v>
      </c>
      <c r="R3" s="29" t="s">
        <v>147</v>
      </c>
      <c r="S3" s="29" t="s">
        <v>148</v>
      </c>
      <c r="T3" s="29" t="s">
        <v>149</v>
      </c>
      <c r="U3" s="29" t="s">
        <v>150</v>
      </c>
      <c r="V3" s="29" t="s">
        <v>151</v>
      </c>
      <c r="W3" s="29" t="s">
        <v>152</v>
      </c>
      <c r="X3" s="30" t="s">
        <v>153</v>
      </c>
      <c r="Y3" s="30" t="s">
        <v>154</v>
      </c>
    </row>
    <row r="4" spans="1:25" ht="54.95" customHeight="1">
      <c r="A4" s="209">
        <v>1</v>
      </c>
      <c r="B4" s="210" t="s">
        <v>259</v>
      </c>
      <c r="C4" s="211">
        <v>8.0000000000000002E-3</v>
      </c>
      <c r="D4" s="212">
        <v>0</v>
      </c>
      <c r="E4" s="212">
        <v>0</v>
      </c>
      <c r="F4" s="212">
        <v>0</v>
      </c>
      <c r="G4" s="212">
        <v>1</v>
      </c>
      <c r="H4" s="212">
        <v>1</v>
      </c>
      <c r="I4" s="212">
        <v>4</v>
      </c>
      <c r="J4" s="213">
        <v>0</v>
      </c>
      <c r="K4" s="213">
        <v>0</v>
      </c>
      <c r="L4" s="213">
        <f t="shared" ref="L4:L42" si="0">(((J4*C4)/$A$2)*D4)+(((J4*C4)/$A$2)*E4)+(((J4*C4)/$A$2)*F4)+(((J4*C4)/$A$2)*G4)</f>
        <v>0</v>
      </c>
      <c r="M4" s="214">
        <f t="shared" ref="M4:M42" si="1">(((K4*C4)/$A$2)*D4)+(((K4*C4)/$A$2)*E4)+(((K4*C4)/$A$2)*F4)+(((K4*C4)/$A$2)*G4)</f>
        <v>0</v>
      </c>
      <c r="N4" s="122">
        <f t="shared" ref="N4:N42" si="2">J4*D4*C4/$A$2</f>
        <v>0</v>
      </c>
      <c r="O4" s="122">
        <f t="shared" ref="O4:O42" si="3">J4*E4*C4/$A$2</f>
        <v>0</v>
      </c>
      <c r="P4" s="122">
        <f>J4*F4*C4/$A$2</f>
        <v>0</v>
      </c>
      <c r="Q4" s="122">
        <f t="shared" ref="Q4:Q42" si="4">J4*G4*C4/$A$2</f>
        <v>0</v>
      </c>
      <c r="R4" s="122">
        <f t="shared" ref="R4:R42" si="5">K4*D4*C4/$A$2</f>
        <v>0</v>
      </c>
      <c r="S4" s="122">
        <f t="shared" ref="S4:S42" si="6">K4*E4*C4/$A$2</f>
        <v>0</v>
      </c>
      <c r="T4" s="122">
        <f t="shared" ref="T4:T42" si="7">K4*F4*C4/$A$2</f>
        <v>0</v>
      </c>
      <c r="U4" s="122">
        <f t="shared" ref="U4:U42" si="8">K4*G4*C4/$A$2</f>
        <v>0</v>
      </c>
      <c r="V4" s="30">
        <f>((L4/15)*((I4+H4)-2))</f>
        <v>0</v>
      </c>
      <c r="W4" s="30">
        <f>((M4/15)*((I4+H4)-2))</f>
        <v>0</v>
      </c>
      <c r="X4" s="30">
        <f>L4*(V4/(V4-0.0000001))</f>
        <v>0</v>
      </c>
      <c r="Y4" s="30">
        <f>M4*(W4/(W4-0.0000001))</f>
        <v>0</v>
      </c>
    </row>
    <row r="5" spans="1:25" ht="54.95" customHeight="1">
      <c r="A5" s="209">
        <v>2</v>
      </c>
      <c r="B5" s="210" t="s">
        <v>260</v>
      </c>
      <c r="C5" s="211">
        <v>8.0000000000000002E-3</v>
      </c>
      <c r="D5" s="212">
        <v>0</v>
      </c>
      <c r="E5" s="212">
        <v>0</v>
      </c>
      <c r="F5" s="212">
        <v>0</v>
      </c>
      <c r="G5" s="212">
        <v>1</v>
      </c>
      <c r="H5" s="212">
        <v>1</v>
      </c>
      <c r="I5" s="212">
        <v>4</v>
      </c>
      <c r="J5" s="213">
        <v>0</v>
      </c>
      <c r="K5" s="213">
        <v>0</v>
      </c>
      <c r="L5" s="213">
        <f t="shared" si="0"/>
        <v>0</v>
      </c>
      <c r="M5" s="214">
        <f t="shared" si="1"/>
        <v>0</v>
      </c>
      <c r="N5" s="122">
        <f t="shared" si="2"/>
        <v>0</v>
      </c>
      <c r="O5" s="122">
        <f t="shared" si="3"/>
        <v>0</v>
      </c>
      <c r="P5" s="122">
        <f t="shared" ref="P5:P42" si="9">J5*F5*C5/$A$2</f>
        <v>0</v>
      </c>
      <c r="Q5" s="122">
        <f t="shared" si="4"/>
        <v>0</v>
      </c>
      <c r="R5" s="122">
        <f t="shared" si="5"/>
        <v>0</v>
      </c>
      <c r="S5" s="122">
        <f t="shared" si="6"/>
        <v>0</v>
      </c>
      <c r="T5" s="122">
        <f t="shared" si="7"/>
        <v>0</v>
      </c>
      <c r="U5" s="122">
        <f t="shared" si="8"/>
        <v>0</v>
      </c>
      <c r="V5" s="30">
        <f t="shared" ref="V5:V42" si="10">((L5/15)*((I5+H5)-2))</f>
        <v>0</v>
      </c>
      <c r="W5" s="30">
        <f t="shared" ref="W5:W42" si="11">((M5/15)*((I5+H5)-2))</f>
        <v>0</v>
      </c>
      <c r="X5" s="30">
        <f t="shared" ref="X5:Y42" si="12">L5*(V5/(V5-0.0000001))</f>
        <v>0</v>
      </c>
      <c r="Y5" s="30">
        <f t="shared" si="12"/>
        <v>0</v>
      </c>
    </row>
    <row r="6" spans="1:25" ht="54.95" customHeight="1">
      <c r="A6" s="209">
        <v>3</v>
      </c>
      <c r="B6" s="210" t="s">
        <v>261</v>
      </c>
      <c r="C6" s="211">
        <v>4.8000000000000001E-2</v>
      </c>
      <c r="D6" s="212">
        <v>0</v>
      </c>
      <c r="E6" s="212">
        <v>0</v>
      </c>
      <c r="F6" s="212">
        <v>0</v>
      </c>
      <c r="G6" s="212">
        <v>1</v>
      </c>
      <c r="H6" s="212">
        <v>1</v>
      </c>
      <c r="I6" s="212">
        <v>4</v>
      </c>
      <c r="J6" s="213">
        <v>0</v>
      </c>
      <c r="K6" s="213">
        <v>0</v>
      </c>
      <c r="L6" s="213">
        <f t="shared" si="0"/>
        <v>0</v>
      </c>
      <c r="M6" s="214">
        <f t="shared" si="1"/>
        <v>0</v>
      </c>
      <c r="N6" s="122">
        <f t="shared" si="2"/>
        <v>0</v>
      </c>
      <c r="O6" s="122">
        <f t="shared" si="3"/>
        <v>0</v>
      </c>
      <c r="P6" s="122">
        <f t="shared" si="9"/>
        <v>0</v>
      </c>
      <c r="Q6" s="122">
        <f t="shared" si="4"/>
        <v>0</v>
      </c>
      <c r="R6" s="122">
        <f t="shared" si="5"/>
        <v>0</v>
      </c>
      <c r="S6" s="122">
        <f t="shared" si="6"/>
        <v>0</v>
      </c>
      <c r="T6" s="122">
        <f t="shared" si="7"/>
        <v>0</v>
      </c>
      <c r="U6" s="122">
        <f t="shared" si="8"/>
        <v>0</v>
      </c>
      <c r="V6" s="30">
        <f t="shared" si="10"/>
        <v>0</v>
      </c>
      <c r="W6" s="30">
        <f t="shared" si="11"/>
        <v>0</v>
      </c>
      <c r="X6" s="30">
        <f t="shared" si="12"/>
        <v>0</v>
      </c>
      <c r="Y6" s="30">
        <f t="shared" si="12"/>
        <v>0</v>
      </c>
    </row>
    <row r="7" spans="1:25" ht="54.95" customHeight="1">
      <c r="A7" s="209">
        <v>4</v>
      </c>
      <c r="B7" s="210" t="s">
        <v>262</v>
      </c>
      <c r="C7" s="211">
        <v>4.8000000000000001E-2</v>
      </c>
      <c r="D7" s="212">
        <v>0</v>
      </c>
      <c r="E7" s="212">
        <v>0</v>
      </c>
      <c r="F7" s="212">
        <v>0</v>
      </c>
      <c r="G7" s="212">
        <v>1</v>
      </c>
      <c r="H7" s="212">
        <v>1</v>
      </c>
      <c r="I7" s="212">
        <v>4</v>
      </c>
      <c r="J7" s="213">
        <v>0</v>
      </c>
      <c r="K7" s="213">
        <v>0</v>
      </c>
      <c r="L7" s="213">
        <f t="shared" si="0"/>
        <v>0</v>
      </c>
      <c r="M7" s="214">
        <f t="shared" si="1"/>
        <v>0</v>
      </c>
      <c r="N7" s="122">
        <f t="shared" si="2"/>
        <v>0</v>
      </c>
      <c r="O7" s="122">
        <f t="shared" si="3"/>
        <v>0</v>
      </c>
      <c r="P7" s="122">
        <f t="shared" si="9"/>
        <v>0</v>
      </c>
      <c r="Q7" s="122">
        <f t="shared" si="4"/>
        <v>0</v>
      </c>
      <c r="R7" s="122">
        <f t="shared" si="5"/>
        <v>0</v>
      </c>
      <c r="S7" s="122">
        <f t="shared" si="6"/>
        <v>0</v>
      </c>
      <c r="T7" s="122">
        <f t="shared" si="7"/>
        <v>0</v>
      </c>
      <c r="U7" s="122">
        <f t="shared" si="8"/>
        <v>0</v>
      </c>
      <c r="V7" s="30">
        <f t="shared" si="10"/>
        <v>0</v>
      </c>
      <c r="W7" s="30">
        <f t="shared" si="11"/>
        <v>0</v>
      </c>
      <c r="X7" s="30">
        <f t="shared" si="12"/>
        <v>0</v>
      </c>
      <c r="Y7" s="30">
        <f t="shared" si="12"/>
        <v>0</v>
      </c>
    </row>
    <row r="8" spans="1:25" s="130" customFormat="1" ht="54.95" customHeight="1">
      <c r="A8" s="209">
        <v>5</v>
      </c>
      <c r="B8" s="210" t="s">
        <v>263</v>
      </c>
      <c r="C8" s="211">
        <v>0.15</v>
      </c>
      <c r="D8" s="212">
        <v>0</v>
      </c>
      <c r="E8" s="212">
        <v>0</v>
      </c>
      <c r="F8" s="212">
        <v>0</v>
      </c>
      <c r="G8" s="212">
        <v>1</v>
      </c>
      <c r="H8" s="212">
        <v>4</v>
      </c>
      <c r="I8" s="212">
        <v>4</v>
      </c>
      <c r="J8" s="213">
        <v>0</v>
      </c>
      <c r="K8" s="213">
        <v>0</v>
      </c>
      <c r="L8" s="213">
        <f t="shared" si="0"/>
        <v>0</v>
      </c>
      <c r="M8" s="214">
        <f t="shared" si="1"/>
        <v>0</v>
      </c>
      <c r="N8" s="122">
        <f t="shared" si="2"/>
        <v>0</v>
      </c>
      <c r="O8" s="122">
        <f t="shared" si="3"/>
        <v>0</v>
      </c>
      <c r="P8" s="122">
        <f t="shared" si="9"/>
        <v>0</v>
      </c>
      <c r="Q8" s="122">
        <f t="shared" si="4"/>
        <v>0</v>
      </c>
      <c r="R8" s="122">
        <f t="shared" si="5"/>
        <v>0</v>
      </c>
      <c r="S8" s="122">
        <f t="shared" si="6"/>
        <v>0</v>
      </c>
      <c r="T8" s="122">
        <f t="shared" si="7"/>
        <v>0</v>
      </c>
      <c r="U8" s="122">
        <f t="shared" si="8"/>
        <v>0</v>
      </c>
      <c r="V8" s="30">
        <f t="shared" si="10"/>
        <v>0</v>
      </c>
      <c r="W8" s="30">
        <f t="shared" si="11"/>
        <v>0</v>
      </c>
      <c r="X8" s="30">
        <f t="shared" si="12"/>
        <v>0</v>
      </c>
      <c r="Y8" s="30">
        <f t="shared" si="12"/>
        <v>0</v>
      </c>
    </row>
    <row r="9" spans="1:25" s="130" customFormat="1" ht="54.95" customHeight="1">
      <c r="A9" s="209">
        <v>6</v>
      </c>
      <c r="B9" s="210" t="s">
        <v>264</v>
      </c>
      <c r="C9" s="211">
        <v>0.2</v>
      </c>
      <c r="D9" s="212">
        <v>0</v>
      </c>
      <c r="E9" s="212">
        <v>0</v>
      </c>
      <c r="F9" s="212">
        <v>0</v>
      </c>
      <c r="G9" s="212">
        <v>1</v>
      </c>
      <c r="H9" s="212">
        <v>4</v>
      </c>
      <c r="I9" s="212">
        <v>4</v>
      </c>
      <c r="J9" s="213">
        <v>0</v>
      </c>
      <c r="K9" s="213">
        <v>0</v>
      </c>
      <c r="L9" s="213">
        <f t="shared" si="0"/>
        <v>0</v>
      </c>
      <c r="M9" s="214">
        <f t="shared" si="1"/>
        <v>0</v>
      </c>
      <c r="N9" s="122">
        <f t="shared" si="2"/>
        <v>0</v>
      </c>
      <c r="O9" s="122">
        <f t="shared" si="3"/>
        <v>0</v>
      </c>
      <c r="P9" s="122">
        <f t="shared" si="9"/>
        <v>0</v>
      </c>
      <c r="Q9" s="122">
        <f t="shared" si="4"/>
        <v>0</v>
      </c>
      <c r="R9" s="122">
        <f t="shared" si="5"/>
        <v>0</v>
      </c>
      <c r="S9" s="122">
        <f t="shared" si="6"/>
        <v>0</v>
      </c>
      <c r="T9" s="122">
        <f t="shared" si="7"/>
        <v>0</v>
      </c>
      <c r="U9" s="122">
        <f t="shared" si="8"/>
        <v>0</v>
      </c>
      <c r="V9" s="30">
        <f t="shared" si="10"/>
        <v>0</v>
      </c>
      <c r="W9" s="30">
        <f t="shared" si="11"/>
        <v>0</v>
      </c>
      <c r="X9" s="30">
        <f t="shared" si="12"/>
        <v>0</v>
      </c>
      <c r="Y9" s="30">
        <f t="shared" si="12"/>
        <v>0</v>
      </c>
    </row>
    <row r="10" spans="1:25" ht="54.95" customHeight="1">
      <c r="A10" s="209">
        <v>7</v>
      </c>
      <c r="B10" s="210" t="s">
        <v>265</v>
      </c>
      <c r="C10" s="211">
        <v>0.05</v>
      </c>
      <c r="D10" s="212">
        <v>0</v>
      </c>
      <c r="E10" s="212">
        <v>0</v>
      </c>
      <c r="F10" s="212">
        <v>0</v>
      </c>
      <c r="G10" s="212">
        <v>1</v>
      </c>
      <c r="H10" s="212">
        <v>1</v>
      </c>
      <c r="I10" s="212">
        <v>4</v>
      </c>
      <c r="J10" s="213">
        <v>0</v>
      </c>
      <c r="K10" s="213">
        <v>0</v>
      </c>
      <c r="L10" s="213">
        <f t="shared" si="0"/>
        <v>0</v>
      </c>
      <c r="M10" s="214">
        <f t="shared" si="1"/>
        <v>0</v>
      </c>
      <c r="N10" s="122">
        <f t="shared" si="2"/>
        <v>0</v>
      </c>
      <c r="O10" s="122">
        <f t="shared" si="3"/>
        <v>0</v>
      </c>
      <c r="P10" s="122">
        <f t="shared" si="9"/>
        <v>0</v>
      </c>
      <c r="Q10" s="122">
        <f t="shared" si="4"/>
        <v>0</v>
      </c>
      <c r="R10" s="122">
        <f t="shared" si="5"/>
        <v>0</v>
      </c>
      <c r="S10" s="122">
        <f t="shared" si="6"/>
        <v>0</v>
      </c>
      <c r="T10" s="122">
        <f t="shared" si="7"/>
        <v>0</v>
      </c>
      <c r="U10" s="122">
        <f t="shared" si="8"/>
        <v>0</v>
      </c>
      <c r="V10" s="30">
        <f t="shared" si="10"/>
        <v>0</v>
      </c>
      <c r="W10" s="30">
        <f t="shared" si="11"/>
        <v>0</v>
      </c>
      <c r="X10" s="30">
        <f t="shared" si="12"/>
        <v>0</v>
      </c>
      <c r="Y10" s="30">
        <f t="shared" si="12"/>
        <v>0</v>
      </c>
    </row>
    <row r="11" spans="1:25" ht="54.95" customHeight="1">
      <c r="A11" s="209">
        <v>8</v>
      </c>
      <c r="B11" s="210" t="s">
        <v>266</v>
      </c>
      <c r="C11" s="211">
        <v>0.15</v>
      </c>
      <c r="D11" s="212">
        <v>0</v>
      </c>
      <c r="E11" s="212">
        <v>0</v>
      </c>
      <c r="F11" s="212">
        <v>0</v>
      </c>
      <c r="G11" s="212">
        <v>1</v>
      </c>
      <c r="H11" s="212">
        <v>4</v>
      </c>
      <c r="I11" s="212">
        <v>4</v>
      </c>
      <c r="J11" s="213">
        <v>0</v>
      </c>
      <c r="K11" s="213">
        <v>0</v>
      </c>
      <c r="L11" s="213">
        <f t="shared" si="0"/>
        <v>0</v>
      </c>
      <c r="M11" s="214">
        <f t="shared" si="1"/>
        <v>0</v>
      </c>
      <c r="N11" s="122">
        <f t="shared" si="2"/>
        <v>0</v>
      </c>
      <c r="O11" s="122">
        <f t="shared" si="3"/>
        <v>0</v>
      </c>
      <c r="P11" s="122">
        <f t="shared" si="9"/>
        <v>0</v>
      </c>
      <c r="Q11" s="122">
        <f t="shared" si="4"/>
        <v>0</v>
      </c>
      <c r="R11" s="122">
        <f t="shared" si="5"/>
        <v>0</v>
      </c>
      <c r="S11" s="122">
        <f t="shared" si="6"/>
        <v>0</v>
      </c>
      <c r="T11" s="122">
        <f t="shared" si="7"/>
        <v>0</v>
      </c>
      <c r="U11" s="122">
        <f t="shared" si="8"/>
        <v>0</v>
      </c>
      <c r="V11" s="30">
        <f t="shared" si="10"/>
        <v>0</v>
      </c>
      <c r="W11" s="30">
        <f t="shared" si="11"/>
        <v>0</v>
      </c>
      <c r="X11" s="30">
        <f t="shared" si="12"/>
        <v>0</v>
      </c>
      <c r="Y11" s="30">
        <f t="shared" si="12"/>
        <v>0</v>
      </c>
    </row>
    <row r="12" spans="1:25" ht="54.95" customHeight="1">
      <c r="A12" s="209">
        <v>9</v>
      </c>
      <c r="B12" s="210" t="s">
        <v>267</v>
      </c>
      <c r="C12" s="211">
        <v>0.06</v>
      </c>
      <c r="D12" s="212">
        <v>0</v>
      </c>
      <c r="E12" s="212">
        <v>0</v>
      </c>
      <c r="F12" s="212">
        <v>0</v>
      </c>
      <c r="G12" s="212">
        <v>1</v>
      </c>
      <c r="H12" s="212">
        <v>4</v>
      </c>
      <c r="I12" s="212">
        <v>4</v>
      </c>
      <c r="J12" s="213">
        <v>0</v>
      </c>
      <c r="K12" s="213">
        <v>0</v>
      </c>
      <c r="L12" s="213">
        <f t="shared" si="0"/>
        <v>0</v>
      </c>
      <c r="M12" s="214">
        <f t="shared" si="1"/>
        <v>0</v>
      </c>
      <c r="N12" s="122">
        <f t="shared" si="2"/>
        <v>0</v>
      </c>
      <c r="O12" s="122">
        <f t="shared" si="3"/>
        <v>0</v>
      </c>
      <c r="P12" s="122">
        <f t="shared" si="9"/>
        <v>0</v>
      </c>
      <c r="Q12" s="122">
        <f t="shared" si="4"/>
        <v>0</v>
      </c>
      <c r="R12" s="122">
        <f t="shared" si="5"/>
        <v>0</v>
      </c>
      <c r="S12" s="122">
        <f t="shared" si="6"/>
        <v>0</v>
      </c>
      <c r="T12" s="122">
        <f t="shared" si="7"/>
        <v>0</v>
      </c>
      <c r="U12" s="122">
        <f t="shared" si="8"/>
        <v>0</v>
      </c>
      <c r="V12" s="30">
        <f t="shared" si="10"/>
        <v>0</v>
      </c>
      <c r="W12" s="30">
        <f t="shared" si="11"/>
        <v>0</v>
      </c>
      <c r="X12" s="30">
        <f t="shared" si="12"/>
        <v>0</v>
      </c>
      <c r="Y12" s="30">
        <f t="shared" si="12"/>
        <v>0</v>
      </c>
    </row>
    <row r="13" spans="1:25" ht="54.95" customHeight="1">
      <c r="A13" s="209">
        <v>10</v>
      </c>
      <c r="B13" s="210" t="s">
        <v>268</v>
      </c>
      <c r="C13" s="211">
        <v>0.06</v>
      </c>
      <c r="D13" s="212">
        <v>0</v>
      </c>
      <c r="E13" s="212">
        <v>1</v>
      </c>
      <c r="F13" s="212">
        <v>0</v>
      </c>
      <c r="G13" s="212">
        <v>1</v>
      </c>
      <c r="H13" s="212">
        <v>4</v>
      </c>
      <c r="I13" s="212">
        <v>4</v>
      </c>
      <c r="J13" s="213">
        <v>0</v>
      </c>
      <c r="K13" s="213">
        <v>0</v>
      </c>
      <c r="L13" s="213">
        <f t="shared" si="0"/>
        <v>0</v>
      </c>
      <c r="M13" s="214">
        <f t="shared" si="1"/>
        <v>0</v>
      </c>
      <c r="N13" s="122">
        <f t="shared" si="2"/>
        <v>0</v>
      </c>
      <c r="O13" s="122">
        <f t="shared" si="3"/>
        <v>0</v>
      </c>
      <c r="P13" s="122">
        <f t="shared" si="9"/>
        <v>0</v>
      </c>
      <c r="Q13" s="122">
        <f t="shared" si="4"/>
        <v>0</v>
      </c>
      <c r="R13" s="122">
        <f t="shared" si="5"/>
        <v>0</v>
      </c>
      <c r="S13" s="122">
        <f t="shared" si="6"/>
        <v>0</v>
      </c>
      <c r="T13" s="122">
        <f t="shared" si="7"/>
        <v>0</v>
      </c>
      <c r="U13" s="122">
        <f t="shared" si="8"/>
        <v>0</v>
      </c>
      <c r="V13" s="30">
        <f t="shared" si="10"/>
        <v>0</v>
      </c>
      <c r="W13" s="30">
        <f t="shared" si="11"/>
        <v>0</v>
      </c>
      <c r="X13" s="30">
        <f t="shared" si="12"/>
        <v>0</v>
      </c>
      <c r="Y13" s="30">
        <f t="shared" si="12"/>
        <v>0</v>
      </c>
    </row>
    <row r="14" spans="1:25" ht="54.95" customHeight="1">
      <c r="A14" s="209">
        <v>11</v>
      </c>
      <c r="B14" s="210" t="s">
        <v>269</v>
      </c>
      <c r="C14" s="211">
        <v>0.06</v>
      </c>
      <c r="D14" s="212">
        <v>0</v>
      </c>
      <c r="E14" s="212">
        <v>1</v>
      </c>
      <c r="F14" s="212">
        <v>0</v>
      </c>
      <c r="G14" s="212">
        <v>0</v>
      </c>
      <c r="H14" s="212">
        <v>4</v>
      </c>
      <c r="I14" s="212">
        <v>4</v>
      </c>
      <c r="J14" s="213">
        <v>0</v>
      </c>
      <c r="K14" s="213">
        <v>0</v>
      </c>
      <c r="L14" s="213">
        <f t="shared" si="0"/>
        <v>0</v>
      </c>
      <c r="M14" s="214">
        <f t="shared" si="1"/>
        <v>0</v>
      </c>
      <c r="N14" s="122">
        <f t="shared" si="2"/>
        <v>0</v>
      </c>
      <c r="O14" s="122">
        <f t="shared" si="3"/>
        <v>0</v>
      </c>
      <c r="P14" s="122">
        <f t="shared" si="9"/>
        <v>0</v>
      </c>
      <c r="Q14" s="122">
        <f t="shared" si="4"/>
        <v>0</v>
      </c>
      <c r="R14" s="122">
        <f t="shared" si="5"/>
        <v>0</v>
      </c>
      <c r="S14" s="122">
        <f t="shared" si="6"/>
        <v>0</v>
      </c>
      <c r="T14" s="122">
        <f t="shared" si="7"/>
        <v>0</v>
      </c>
      <c r="U14" s="122">
        <f t="shared" si="8"/>
        <v>0</v>
      </c>
      <c r="V14" s="30">
        <f t="shared" si="10"/>
        <v>0</v>
      </c>
      <c r="W14" s="30">
        <f t="shared" si="11"/>
        <v>0</v>
      </c>
      <c r="X14" s="30">
        <f t="shared" si="12"/>
        <v>0</v>
      </c>
      <c r="Y14" s="30">
        <f t="shared" si="12"/>
        <v>0</v>
      </c>
    </row>
    <row r="15" spans="1:25" ht="54.95" customHeight="1">
      <c r="A15" s="209">
        <v>12</v>
      </c>
      <c r="B15" s="210" t="s">
        <v>1413</v>
      </c>
      <c r="C15" s="211">
        <v>0.3</v>
      </c>
      <c r="D15" s="212">
        <v>0</v>
      </c>
      <c r="E15" s="212">
        <v>1</v>
      </c>
      <c r="F15" s="212">
        <v>0</v>
      </c>
      <c r="G15" s="212">
        <v>1</v>
      </c>
      <c r="H15" s="212">
        <v>4</v>
      </c>
      <c r="I15" s="212">
        <v>4</v>
      </c>
      <c r="J15" s="213">
        <v>0</v>
      </c>
      <c r="K15" s="213">
        <v>0</v>
      </c>
      <c r="L15" s="213">
        <f t="shared" si="0"/>
        <v>0</v>
      </c>
      <c r="M15" s="214">
        <f t="shared" si="1"/>
        <v>0</v>
      </c>
      <c r="N15" s="122">
        <f t="shared" si="2"/>
        <v>0</v>
      </c>
      <c r="O15" s="122">
        <f t="shared" si="3"/>
        <v>0</v>
      </c>
      <c r="P15" s="122">
        <f t="shared" si="9"/>
        <v>0</v>
      </c>
      <c r="Q15" s="122">
        <f t="shared" si="4"/>
        <v>0</v>
      </c>
      <c r="R15" s="122">
        <f t="shared" si="5"/>
        <v>0</v>
      </c>
      <c r="S15" s="122">
        <f t="shared" si="6"/>
        <v>0</v>
      </c>
      <c r="T15" s="122">
        <f t="shared" si="7"/>
        <v>0</v>
      </c>
      <c r="U15" s="122">
        <f t="shared" si="8"/>
        <v>0</v>
      </c>
      <c r="V15" s="30">
        <f t="shared" si="10"/>
        <v>0</v>
      </c>
      <c r="W15" s="30">
        <f t="shared" si="11"/>
        <v>0</v>
      </c>
      <c r="X15" s="30">
        <f t="shared" si="12"/>
        <v>0</v>
      </c>
      <c r="Y15" s="30">
        <f t="shared" si="12"/>
        <v>0</v>
      </c>
    </row>
    <row r="16" spans="1:25" ht="54.95" customHeight="1">
      <c r="A16" s="209">
        <v>13</v>
      </c>
      <c r="B16" s="210" t="s">
        <v>270</v>
      </c>
      <c r="C16" s="211">
        <v>0.3</v>
      </c>
      <c r="D16" s="212">
        <v>0</v>
      </c>
      <c r="E16" s="212">
        <v>1</v>
      </c>
      <c r="F16" s="212">
        <v>0</v>
      </c>
      <c r="G16" s="212">
        <v>0</v>
      </c>
      <c r="H16" s="212">
        <v>4</v>
      </c>
      <c r="I16" s="212">
        <v>4</v>
      </c>
      <c r="J16" s="213">
        <v>0</v>
      </c>
      <c r="K16" s="213">
        <v>0</v>
      </c>
      <c r="L16" s="213">
        <f t="shared" si="0"/>
        <v>0</v>
      </c>
      <c r="M16" s="214">
        <f t="shared" si="1"/>
        <v>0</v>
      </c>
      <c r="N16" s="122">
        <f t="shared" si="2"/>
        <v>0</v>
      </c>
      <c r="O16" s="122">
        <f t="shared" si="3"/>
        <v>0</v>
      </c>
      <c r="P16" s="122">
        <f t="shared" si="9"/>
        <v>0</v>
      </c>
      <c r="Q16" s="122">
        <f t="shared" si="4"/>
        <v>0</v>
      </c>
      <c r="R16" s="122">
        <f t="shared" si="5"/>
        <v>0</v>
      </c>
      <c r="S16" s="122">
        <f t="shared" si="6"/>
        <v>0</v>
      </c>
      <c r="T16" s="122">
        <f t="shared" si="7"/>
        <v>0</v>
      </c>
      <c r="U16" s="122">
        <f t="shared" si="8"/>
        <v>0</v>
      </c>
      <c r="V16" s="30">
        <f t="shared" si="10"/>
        <v>0</v>
      </c>
      <c r="W16" s="30">
        <f t="shared" si="11"/>
        <v>0</v>
      </c>
      <c r="X16" s="30">
        <f t="shared" si="12"/>
        <v>0</v>
      </c>
      <c r="Y16" s="30">
        <f t="shared" si="12"/>
        <v>0</v>
      </c>
    </row>
    <row r="17" spans="1:26" ht="54.95" customHeight="1">
      <c r="A17" s="209">
        <v>14</v>
      </c>
      <c r="B17" s="210" t="s">
        <v>271</v>
      </c>
      <c r="C17" s="211">
        <v>2.5</v>
      </c>
      <c r="D17" s="212">
        <v>0</v>
      </c>
      <c r="E17" s="212">
        <v>1</v>
      </c>
      <c r="F17" s="212">
        <v>1</v>
      </c>
      <c r="G17" s="212">
        <v>1</v>
      </c>
      <c r="H17" s="212">
        <v>4</v>
      </c>
      <c r="I17" s="212">
        <v>4</v>
      </c>
      <c r="J17" s="213">
        <v>0</v>
      </c>
      <c r="K17" s="213">
        <v>0</v>
      </c>
      <c r="L17" s="213">
        <f t="shared" si="0"/>
        <v>0</v>
      </c>
      <c r="M17" s="214">
        <f t="shared" si="1"/>
        <v>0</v>
      </c>
      <c r="N17" s="122">
        <f t="shared" si="2"/>
        <v>0</v>
      </c>
      <c r="O17" s="122">
        <f t="shared" si="3"/>
        <v>0</v>
      </c>
      <c r="P17" s="122">
        <f t="shared" si="9"/>
        <v>0</v>
      </c>
      <c r="Q17" s="122">
        <f t="shared" si="4"/>
        <v>0</v>
      </c>
      <c r="R17" s="122">
        <f t="shared" si="5"/>
        <v>0</v>
      </c>
      <c r="S17" s="122">
        <f t="shared" si="6"/>
        <v>0</v>
      </c>
      <c r="T17" s="122">
        <f t="shared" si="7"/>
        <v>0</v>
      </c>
      <c r="U17" s="122">
        <f t="shared" si="8"/>
        <v>0</v>
      </c>
      <c r="V17" s="30">
        <f t="shared" si="10"/>
        <v>0</v>
      </c>
      <c r="W17" s="30">
        <f t="shared" si="11"/>
        <v>0</v>
      </c>
      <c r="X17" s="30">
        <f t="shared" si="12"/>
        <v>0</v>
      </c>
      <c r="Y17" s="30">
        <f t="shared" si="12"/>
        <v>0</v>
      </c>
    </row>
    <row r="18" spans="1:26" ht="54.95" customHeight="1">
      <c r="A18" s="209">
        <v>15</v>
      </c>
      <c r="B18" s="210" t="s">
        <v>272</v>
      </c>
      <c r="C18" s="211">
        <v>6</v>
      </c>
      <c r="D18" s="212">
        <v>0</v>
      </c>
      <c r="E18" s="212">
        <v>1</v>
      </c>
      <c r="F18" s="212">
        <v>1</v>
      </c>
      <c r="G18" s="212">
        <v>1</v>
      </c>
      <c r="H18" s="212">
        <v>4</v>
      </c>
      <c r="I18" s="212">
        <v>4</v>
      </c>
      <c r="J18" s="213">
        <v>0</v>
      </c>
      <c r="K18" s="213">
        <v>0</v>
      </c>
      <c r="L18" s="213">
        <f t="shared" si="0"/>
        <v>0</v>
      </c>
      <c r="M18" s="214">
        <f t="shared" si="1"/>
        <v>0</v>
      </c>
      <c r="N18" s="122">
        <f t="shared" si="2"/>
        <v>0</v>
      </c>
      <c r="O18" s="122">
        <f t="shared" si="3"/>
        <v>0</v>
      </c>
      <c r="P18" s="122">
        <f t="shared" si="9"/>
        <v>0</v>
      </c>
      <c r="Q18" s="122">
        <f t="shared" si="4"/>
        <v>0</v>
      </c>
      <c r="R18" s="122">
        <f t="shared" si="5"/>
        <v>0</v>
      </c>
      <c r="S18" s="122">
        <f t="shared" si="6"/>
        <v>0</v>
      </c>
      <c r="T18" s="122">
        <f t="shared" si="7"/>
        <v>0</v>
      </c>
      <c r="U18" s="122">
        <f t="shared" si="8"/>
        <v>0</v>
      </c>
      <c r="V18" s="30">
        <f t="shared" si="10"/>
        <v>0</v>
      </c>
      <c r="W18" s="30">
        <f t="shared" si="11"/>
        <v>0</v>
      </c>
      <c r="X18" s="30">
        <f t="shared" si="12"/>
        <v>0</v>
      </c>
      <c r="Y18" s="30">
        <f t="shared" si="12"/>
        <v>0</v>
      </c>
    </row>
    <row r="19" spans="1:26" ht="54.95" customHeight="1">
      <c r="A19" s="209">
        <v>16</v>
      </c>
      <c r="B19" s="210" t="s">
        <v>273</v>
      </c>
      <c r="C19" s="211">
        <v>1</v>
      </c>
      <c r="D19" s="212">
        <v>0</v>
      </c>
      <c r="E19" s="212">
        <v>1</v>
      </c>
      <c r="F19" s="212">
        <v>0</v>
      </c>
      <c r="G19" s="212">
        <v>1</v>
      </c>
      <c r="H19" s="212">
        <v>1</v>
      </c>
      <c r="I19" s="212">
        <v>4</v>
      </c>
      <c r="J19" s="213">
        <v>0</v>
      </c>
      <c r="K19" s="213">
        <v>0</v>
      </c>
      <c r="L19" s="213">
        <f t="shared" si="0"/>
        <v>0</v>
      </c>
      <c r="M19" s="214">
        <f t="shared" si="1"/>
        <v>0</v>
      </c>
      <c r="N19" s="122">
        <f t="shared" si="2"/>
        <v>0</v>
      </c>
      <c r="O19" s="122">
        <f t="shared" si="3"/>
        <v>0</v>
      </c>
      <c r="P19" s="122">
        <f t="shared" si="9"/>
        <v>0</v>
      </c>
      <c r="Q19" s="122">
        <f t="shared" si="4"/>
        <v>0</v>
      </c>
      <c r="R19" s="122">
        <f t="shared" si="5"/>
        <v>0</v>
      </c>
      <c r="S19" s="122">
        <f t="shared" si="6"/>
        <v>0</v>
      </c>
      <c r="T19" s="122">
        <f t="shared" si="7"/>
        <v>0</v>
      </c>
      <c r="U19" s="122">
        <f t="shared" si="8"/>
        <v>0</v>
      </c>
      <c r="V19" s="30">
        <f t="shared" si="10"/>
        <v>0</v>
      </c>
      <c r="W19" s="30">
        <f t="shared" si="11"/>
        <v>0</v>
      </c>
      <c r="X19" s="30">
        <f t="shared" si="12"/>
        <v>0</v>
      </c>
      <c r="Y19" s="30">
        <f t="shared" si="12"/>
        <v>0</v>
      </c>
    </row>
    <row r="20" spans="1:26" ht="54.95" customHeight="1">
      <c r="A20" s="209">
        <v>17</v>
      </c>
      <c r="B20" s="210" t="s">
        <v>274</v>
      </c>
      <c r="C20" s="211">
        <v>6</v>
      </c>
      <c r="D20" s="212">
        <v>0</v>
      </c>
      <c r="E20" s="212">
        <v>1</v>
      </c>
      <c r="F20" s="212">
        <v>0</v>
      </c>
      <c r="G20" s="212">
        <v>1</v>
      </c>
      <c r="H20" s="212">
        <v>1</v>
      </c>
      <c r="I20" s="212">
        <v>1</v>
      </c>
      <c r="J20" s="213">
        <v>0</v>
      </c>
      <c r="K20" s="213">
        <v>0</v>
      </c>
      <c r="L20" s="213">
        <f t="shared" si="0"/>
        <v>0</v>
      </c>
      <c r="M20" s="214">
        <f t="shared" si="1"/>
        <v>0</v>
      </c>
      <c r="N20" s="122">
        <f t="shared" si="2"/>
        <v>0</v>
      </c>
      <c r="O20" s="122">
        <f t="shared" si="3"/>
        <v>0</v>
      </c>
      <c r="P20" s="122">
        <f t="shared" si="9"/>
        <v>0</v>
      </c>
      <c r="Q20" s="122">
        <f t="shared" si="4"/>
        <v>0</v>
      </c>
      <c r="R20" s="122">
        <f t="shared" si="5"/>
        <v>0</v>
      </c>
      <c r="S20" s="122">
        <f t="shared" si="6"/>
        <v>0</v>
      </c>
      <c r="T20" s="122">
        <f t="shared" si="7"/>
        <v>0</v>
      </c>
      <c r="U20" s="122">
        <f t="shared" si="8"/>
        <v>0</v>
      </c>
      <c r="V20" s="30">
        <f t="shared" si="10"/>
        <v>0</v>
      </c>
      <c r="W20" s="30">
        <f t="shared" si="11"/>
        <v>0</v>
      </c>
      <c r="X20" s="30">
        <f t="shared" si="12"/>
        <v>0</v>
      </c>
      <c r="Y20" s="30">
        <f t="shared" si="12"/>
        <v>0</v>
      </c>
    </row>
    <row r="21" spans="1:26" ht="54.95" customHeight="1">
      <c r="A21" s="209">
        <v>18</v>
      </c>
      <c r="B21" s="210" t="s">
        <v>275</v>
      </c>
      <c r="C21" s="211">
        <v>3</v>
      </c>
      <c r="D21" s="212">
        <v>0</v>
      </c>
      <c r="E21" s="212">
        <v>1</v>
      </c>
      <c r="F21" s="212">
        <v>0</v>
      </c>
      <c r="G21" s="212">
        <v>1</v>
      </c>
      <c r="H21" s="212">
        <v>1</v>
      </c>
      <c r="I21" s="212">
        <v>1</v>
      </c>
      <c r="J21" s="213">
        <v>0</v>
      </c>
      <c r="K21" s="213">
        <v>0</v>
      </c>
      <c r="L21" s="213">
        <f t="shared" si="0"/>
        <v>0</v>
      </c>
      <c r="M21" s="214">
        <f t="shared" si="1"/>
        <v>0</v>
      </c>
      <c r="N21" s="122">
        <f t="shared" si="2"/>
        <v>0</v>
      </c>
      <c r="O21" s="122">
        <f t="shared" si="3"/>
        <v>0</v>
      </c>
      <c r="P21" s="122">
        <f t="shared" si="9"/>
        <v>0</v>
      </c>
      <c r="Q21" s="122">
        <f t="shared" si="4"/>
        <v>0</v>
      </c>
      <c r="R21" s="122">
        <f t="shared" si="5"/>
        <v>0</v>
      </c>
      <c r="S21" s="122">
        <f t="shared" si="6"/>
        <v>0</v>
      </c>
      <c r="T21" s="122">
        <f t="shared" si="7"/>
        <v>0</v>
      </c>
      <c r="U21" s="122">
        <f t="shared" si="8"/>
        <v>0</v>
      </c>
      <c r="V21" s="30">
        <f t="shared" si="10"/>
        <v>0</v>
      </c>
      <c r="W21" s="30">
        <f t="shared" si="11"/>
        <v>0</v>
      </c>
      <c r="X21" s="30">
        <f t="shared" si="12"/>
        <v>0</v>
      </c>
      <c r="Y21" s="30">
        <f t="shared" si="12"/>
        <v>0</v>
      </c>
    </row>
    <row r="22" spans="1:26" ht="54.95" customHeight="1">
      <c r="A22" s="209">
        <v>19</v>
      </c>
      <c r="B22" s="210" t="s">
        <v>276</v>
      </c>
      <c r="C22" s="211">
        <v>6</v>
      </c>
      <c r="D22" s="212">
        <v>0</v>
      </c>
      <c r="E22" s="212">
        <v>1</v>
      </c>
      <c r="F22" s="212">
        <v>0</v>
      </c>
      <c r="G22" s="212">
        <v>1</v>
      </c>
      <c r="H22" s="212">
        <v>1</v>
      </c>
      <c r="I22" s="212">
        <v>1</v>
      </c>
      <c r="J22" s="213">
        <v>0</v>
      </c>
      <c r="K22" s="213">
        <v>0</v>
      </c>
      <c r="L22" s="213">
        <f t="shared" si="0"/>
        <v>0</v>
      </c>
      <c r="M22" s="214">
        <f t="shared" si="1"/>
        <v>0</v>
      </c>
      <c r="N22" s="122">
        <f t="shared" si="2"/>
        <v>0</v>
      </c>
      <c r="O22" s="122">
        <f t="shared" si="3"/>
        <v>0</v>
      </c>
      <c r="P22" s="122">
        <f t="shared" si="9"/>
        <v>0</v>
      </c>
      <c r="Q22" s="122">
        <f t="shared" si="4"/>
        <v>0</v>
      </c>
      <c r="R22" s="122">
        <f t="shared" si="5"/>
        <v>0</v>
      </c>
      <c r="S22" s="122">
        <f t="shared" si="6"/>
        <v>0</v>
      </c>
      <c r="T22" s="122">
        <f t="shared" si="7"/>
        <v>0</v>
      </c>
      <c r="U22" s="122">
        <f t="shared" si="8"/>
        <v>0</v>
      </c>
      <c r="V22" s="30">
        <f t="shared" si="10"/>
        <v>0</v>
      </c>
      <c r="W22" s="30">
        <f t="shared" si="11"/>
        <v>0</v>
      </c>
      <c r="X22" s="30">
        <f t="shared" si="12"/>
        <v>0</v>
      </c>
      <c r="Y22" s="30">
        <f t="shared" si="12"/>
        <v>0</v>
      </c>
    </row>
    <row r="23" spans="1:26" s="131" customFormat="1" ht="54.95" customHeight="1">
      <c r="A23" s="209">
        <v>20</v>
      </c>
      <c r="B23" s="210" t="s">
        <v>1349</v>
      </c>
      <c r="C23" s="211">
        <v>0.05</v>
      </c>
      <c r="D23" s="212">
        <v>0</v>
      </c>
      <c r="E23" s="212">
        <v>0</v>
      </c>
      <c r="F23" s="212">
        <v>0</v>
      </c>
      <c r="G23" s="212">
        <v>1</v>
      </c>
      <c r="H23" s="212">
        <v>1</v>
      </c>
      <c r="I23" s="212">
        <v>4</v>
      </c>
      <c r="J23" s="213">
        <v>0</v>
      </c>
      <c r="K23" s="213">
        <v>0</v>
      </c>
      <c r="L23" s="213">
        <f t="shared" si="0"/>
        <v>0</v>
      </c>
      <c r="M23" s="214">
        <f t="shared" si="1"/>
        <v>0</v>
      </c>
      <c r="N23" s="122">
        <f t="shared" si="2"/>
        <v>0</v>
      </c>
      <c r="O23" s="122">
        <f t="shared" si="3"/>
        <v>0</v>
      </c>
      <c r="P23" s="122">
        <f t="shared" si="9"/>
        <v>0</v>
      </c>
      <c r="Q23" s="122">
        <f t="shared" si="4"/>
        <v>0</v>
      </c>
      <c r="R23" s="122">
        <f t="shared" si="5"/>
        <v>0</v>
      </c>
      <c r="S23" s="122">
        <f t="shared" si="6"/>
        <v>0</v>
      </c>
      <c r="T23" s="122">
        <f t="shared" si="7"/>
        <v>0</v>
      </c>
      <c r="U23" s="122">
        <f t="shared" si="8"/>
        <v>0</v>
      </c>
      <c r="V23" s="30">
        <f t="shared" si="10"/>
        <v>0</v>
      </c>
      <c r="W23" s="30">
        <f t="shared" si="11"/>
        <v>0</v>
      </c>
      <c r="X23" s="30">
        <f t="shared" si="12"/>
        <v>0</v>
      </c>
      <c r="Y23" s="30">
        <f t="shared" si="12"/>
        <v>0</v>
      </c>
      <c r="Z23" s="130"/>
    </row>
    <row r="24" spans="1:26" ht="54.95" customHeight="1">
      <c r="A24" s="209">
        <v>21</v>
      </c>
      <c r="B24" s="210" t="s">
        <v>277</v>
      </c>
      <c r="C24" s="211">
        <v>1.1999999999999999E-3</v>
      </c>
      <c r="D24" s="212">
        <v>0</v>
      </c>
      <c r="E24" s="212">
        <v>0</v>
      </c>
      <c r="F24" s="212">
        <v>0</v>
      </c>
      <c r="G24" s="212">
        <v>1</v>
      </c>
      <c r="H24" s="212">
        <v>4</v>
      </c>
      <c r="I24" s="212">
        <v>4</v>
      </c>
      <c r="J24" s="213">
        <v>0</v>
      </c>
      <c r="K24" s="213">
        <v>0</v>
      </c>
      <c r="L24" s="213">
        <f t="shared" si="0"/>
        <v>0</v>
      </c>
      <c r="M24" s="214">
        <f t="shared" si="1"/>
        <v>0</v>
      </c>
      <c r="N24" s="122">
        <f t="shared" si="2"/>
        <v>0</v>
      </c>
      <c r="O24" s="122">
        <f t="shared" si="3"/>
        <v>0</v>
      </c>
      <c r="P24" s="122">
        <f t="shared" si="9"/>
        <v>0</v>
      </c>
      <c r="Q24" s="122">
        <f t="shared" si="4"/>
        <v>0</v>
      </c>
      <c r="R24" s="122">
        <f t="shared" si="5"/>
        <v>0</v>
      </c>
      <c r="S24" s="122">
        <f t="shared" si="6"/>
        <v>0</v>
      </c>
      <c r="T24" s="122">
        <f t="shared" si="7"/>
        <v>0</v>
      </c>
      <c r="U24" s="122">
        <f t="shared" si="8"/>
        <v>0</v>
      </c>
      <c r="V24" s="30">
        <f t="shared" si="10"/>
        <v>0</v>
      </c>
      <c r="W24" s="30">
        <f t="shared" si="11"/>
        <v>0</v>
      </c>
      <c r="X24" s="30">
        <f t="shared" si="12"/>
        <v>0</v>
      </c>
      <c r="Y24" s="30">
        <f t="shared" si="12"/>
        <v>0</v>
      </c>
    </row>
    <row r="25" spans="1:26" ht="54.95" customHeight="1">
      <c r="A25" s="209">
        <v>22</v>
      </c>
      <c r="B25" s="210" t="s">
        <v>278</v>
      </c>
      <c r="C25" s="211">
        <v>6</v>
      </c>
      <c r="D25" s="212">
        <v>0</v>
      </c>
      <c r="E25" s="212">
        <v>0</v>
      </c>
      <c r="F25" s="212">
        <v>0</v>
      </c>
      <c r="G25" s="212">
        <v>1</v>
      </c>
      <c r="H25" s="212">
        <v>4</v>
      </c>
      <c r="I25" s="212">
        <v>4</v>
      </c>
      <c r="J25" s="213">
        <v>0</v>
      </c>
      <c r="K25" s="213">
        <v>0</v>
      </c>
      <c r="L25" s="213">
        <f t="shared" si="0"/>
        <v>0</v>
      </c>
      <c r="M25" s="214">
        <f t="shared" si="1"/>
        <v>0</v>
      </c>
      <c r="N25" s="122">
        <f t="shared" si="2"/>
        <v>0</v>
      </c>
      <c r="O25" s="122">
        <f t="shared" si="3"/>
        <v>0</v>
      </c>
      <c r="P25" s="122">
        <f t="shared" si="9"/>
        <v>0</v>
      </c>
      <c r="Q25" s="122">
        <f t="shared" si="4"/>
        <v>0</v>
      </c>
      <c r="R25" s="122">
        <f t="shared" si="5"/>
        <v>0</v>
      </c>
      <c r="S25" s="122">
        <f t="shared" si="6"/>
        <v>0</v>
      </c>
      <c r="T25" s="122">
        <f t="shared" si="7"/>
        <v>0</v>
      </c>
      <c r="U25" s="122">
        <f t="shared" si="8"/>
        <v>0</v>
      </c>
      <c r="V25" s="30">
        <f t="shared" si="10"/>
        <v>0</v>
      </c>
      <c r="W25" s="30">
        <f t="shared" si="11"/>
        <v>0</v>
      </c>
      <c r="X25" s="30">
        <f t="shared" si="12"/>
        <v>0</v>
      </c>
      <c r="Y25" s="30">
        <f t="shared" si="12"/>
        <v>0</v>
      </c>
    </row>
    <row r="26" spans="1:26" ht="54.95" customHeight="1">
      <c r="A26" s="209">
        <v>23</v>
      </c>
      <c r="B26" s="210" t="s">
        <v>279</v>
      </c>
      <c r="C26" s="211">
        <v>0.12</v>
      </c>
      <c r="D26" s="212">
        <v>0</v>
      </c>
      <c r="E26" s="212">
        <v>0</v>
      </c>
      <c r="F26" s="212">
        <v>0</v>
      </c>
      <c r="G26" s="212">
        <v>1</v>
      </c>
      <c r="H26" s="212">
        <v>4</v>
      </c>
      <c r="I26" s="212">
        <v>4</v>
      </c>
      <c r="J26" s="213">
        <v>0</v>
      </c>
      <c r="K26" s="213">
        <v>0</v>
      </c>
      <c r="L26" s="213">
        <f t="shared" si="0"/>
        <v>0</v>
      </c>
      <c r="M26" s="214">
        <f t="shared" si="1"/>
        <v>0</v>
      </c>
      <c r="N26" s="122">
        <f t="shared" si="2"/>
        <v>0</v>
      </c>
      <c r="O26" s="122">
        <f t="shared" si="3"/>
        <v>0</v>
      </c>
      <c r="P26" s="122">
        <f t="shared" si="9"/>
        <v>0</v>
      </c>
      <c r="Q26" s="122">
        <f t="shared" si="4"/>
        <v>0</v>
      </c>
      <c r="R26" s="122">
        <f t="shared" si="5"/>
        <v>0</v>
      </c>
      <c r="S26" s="122">
        <f t="shared" si="6"/>
        <v>0</v>
      </c>
      <c r="T26" s="122">
        <f t="shared" si="7"/>
        <v>0</v>
      </c>
      <c r="U26" s="122">
        <f t="shared" si="8"/>
        <v>0</v>
      </c>
      <c r="V26" s="30">
        <f t="shared" si="10"/>
        <v>0</v>
      </c>
      <c r="W26" s="30">
        <f t="shared" si="11"/>
        <v>0</v>
      </c>
      <c r="X26" s="30">
        <f t="shared" si="12"/>
        <v>0</v>
      </c>
      <c r="Y26" s="30">
        <f t="shared" si="12"/>
        <v>0</v>
      </c>
    </row>
    <row r="27" spans="1:26" ht="54.95" customHeight="1">
      <c r="A27" s="209">
        <v>24</v>
      </c>
      <c r="B27" s="210" t="s">
        <v>280</v>
      </c>
      <c r="C27" s="211">
        <v>1.1999999999999999E-3</v>
      </c>
      <c r="D27" s="212">
        <v>0</v>
      </c>
      <c r="E27" s="212">
        <v>0</v>
      </c>
      <c r="F27" s="212">
        <v>0</v>
      </c>
      <c r="G27" s="212">
        <v>1</v>
      </c>
      <c r="H27" s="212">
        <v>4</v>
      </c>
      <c r="I27" s="212">
        <v>4</v>
      </c>
      <c r="J27" s="213">
        <v>0</v>
      </c>
      <c r="K27" s="213">
        <v>0</v>
      </c>
      <c r="L27" s="213">
        <f t="shared" si="0"/>
        <v>0</v>
      </c>
      <c r="M27" s="214">
        <f t="shared" si="1"/>
        <v>0</v>
      </c>
      <c r="N27" s="122">
        <f t="shared" si="2"/>
        <v>0</v>
      </c>
      <c r="O27" s="122">
        <f t="shared" si="3"/>
        <v>0</v>
      </c>
      <c r="P27" s="122">
        <f t="shared" si="9"/>
        <v>0</v>
      </c>
      <c r="Q27" s="122">
        <f t="shared" si="4"/>
        <v>0</v>
      </c>
      <c r="R27" s="122">
        <f t="shared" si="5"/>
        <v>0</v>
      </c>
      <c r="S27" s="122">
        <f t="shared" si="6"/>
        <v>0</v>
      </c>
      <c r="T27" s="122">
        <f t="shared" si="7"/>
        <v>0</v>
      </c>
      <c r="U27" s="122">
        <f t="shared" si="8"/>
        <v>0</v>
      </c>
      <c r="V27" s="30">
        <f t="shared" si="10"/>
        <v>0</v>
      </c>
      <c r="W27" s="30">
        <f t="shared" si="11"/>
        <v>0</v>
      </c>
      <c r="X27" s="30">
        <f t="shared" si="12"/>
        <v>0</v>
      </c>
      <c r="Y27" s="30">
        <f t="shared" si="12"/>
        <v>0</v>
      </c>
    </row>
    <row r="28" spans="1:26" ht="54.95" customHeight="1">
      <c r="A28" s="209">
        <v>25</v>
      </c>
      <c r="B28" s="210" t="s">
        <v>281</v>
      </c>
      <c r="C28" s="211">
        <v>1.1999999999999999E-3</v>
      </c>
      <c r="D28" s="212">
        <v>0</v>
      </c>
      <c r="E28" s="212">
        <v>0</v>
      </c>
      <c r="F28" s="212">
        <v>0</v>
      </c>
      <c r="G28" s="212">
        <v>1</v>
      </c>
      <c r="H28" s="212">
        <v>4</v>
      </c>
      <c r="I28" s="212">
        <v>4</v>
      </c>
      <c r="J28" s="213">
        <v>0</v>
      </c>
      <c r="K28" s="213">
        <v>0</v>
      </c>
      <c r="L28" s="213">
        <f t="shared" si="0"/>
        <v>0</v>
      </c>
      <c r="M28" s="214">
        <f t="shared" si="1"/>
        <v>0</v>
      </c>
      <c r="N28" s="122">
        <f t="shared" si="2"/>
        <v>0</v>
      </c>
      <c r="O28" s="122">
        <f t="shared" si="3"/>
        <v>0</v>
      </c>
      <c r="P28" s="122">
        <f t="shared" si="9"/>
        <v>0</v>
      </c>
      <c r="Q28" s="122">
        <f t="shared" si="4"/>
        <v>0</v>
      </c>
      <c r="R28" s="122">
        <f t="shared" si="5"/>
        <v>0</v>
      </c>
      <c r="S28" s="122">
        <f t="shared" si="6"/>
        <v>0</v>
      </c>
      <c r="T28" s="122">
        <f t="shared" si="7"/>
        <v>0</v>
      </c>
      <c r="U28" s="122">
        <f t="shared" si="8"/>
        <v>0</v>
      </c>
      <c r="V28" s="30">
        <f t="shared" si="10"/>
        <v>0</v>
      </c>
      <c r="W28" s="30">
        <f t="shared" si="11"/>
        <v>0</v>
      </c>
      <c r="X28" s="30">
        <f t="shared" si="12"/>
        <v>0</v>
      </c>
      <c r="Y28" s="30">
        <f t="shared" si="12"/>
        <v>0</v>
      </c>
    </row>
    <row r="29" spans="1:26" ht="54.95" customHeight="1">
      <c r="A29" s="209">
        <v>26</v>
      </c>
      <c r="B29" s="210" t="s">
        <v>282</v>
      </c>
      <c r="C29" s="211">
        <v>6</v>
      </c>
      <c r="D29" s="212">
        <v>0</v>
      </c>
      <c r="E29" s="212">
        <v>1</v>
      </c>
      <c r="F29" s="212">
        <v>0</v>
      </c>
      <c r="G29" s="212">
        <v>1</v>
      </c>
      <c r="H29" s="212">
        <v>4</v>
      </c>
      <c r="I29" s="212">
        <v>4</v>
      </c>
      <c r="J29" s="213">
        <v>0</v>
      </c>
      <c r="K29" s="213">
        <v>0</v>
      </c>
      <c r="L29" s="213">
        <f t="shared" si="0"/>
        <v>0</v>
      </c>
      <c r="M29" s="214">
        <f t="shared" si="1"/>
        <v>0</v>
      </c>
      <c r="N29" s="122">
        <f t="shared" si="2"/>
        <v>0</v>
      </c>
      <c r="O29" s="122">
        <f t="shared" si="3"/>
        <v>0</v>
      </c>
      <c r="P29" s="122">
        <f t="shared" si="9"/>
        <v>0</v>
      </c>
      <c r="Q29" s="122">
        <f t="shared" si="4"/>
        <v>0</v>
      </c>
      <c r="R29" s="122">
        <f t="shared" si="5"/>
        <v>0</v>
      </c>
      <c r="S29" s="122">
        <f t="shared" si="6"/>
        <v>0</v>
      </c>
      <c r="T29" s="122">
        <f t="shared" si="7"/>
        <v>0</v>
      </c>
      <c r="U29" s="122">
        <f t="shared" si="8"/>
        <v>0</v>
      </c>
      <c r="V29" s="30">
        <f t="shared" si="10"/>
        <v>0</v>
      </c>
      <c r="W29" s="30">
        <f t="shared" si="11"/>
        <v>0</v>
      </c>
      <c r="X29" s="30">
        <f t="shared" si="12"/>
        <v>0</v>
      </c>
      <c r="Y29" s="30">
        <f t="shared" si="12"/>
        <v>0</v>
      </c>
    </row>
    <row r="30" spans="1:26" ht="54.95" customHeight="1">
      <c r="A30" s="209">
        <v>27</v>
      </c>
      <c r="B30" s="210" t="s">
        <v>283</v>
      </c>
      <c r="C30" s="211">
        <v>1.7000000000000001E-2</v>
      </c>
      <c r="D30" s="212">
        <v>0</v>
      </c>
      <c r="E30" s="212">
        <v>0</v>
      </c>
      <c r="F30" s="212">
        <v>0</v>
      </c>
      <c r="G30" s="212">
        <v>1</v>
      </c>
      <c r="H30" s="212">
        <v>1</v>
      </c>
      <c r="I30" s="212">
        <v>4</v>
      </c>
      <c r="J30" s="213">
        <v>0</v>
      </c>
      <c r="K30" s="213">
        <v>0</v>
      </c>
      <c r="L30" s="213">
        <f t="shared" si="0"/>
        <v>0</v>
      </c>
      <c r="M30" s="214">
        <f t="shared" si="1"/>
        <v>0</v>
      </c>
      <c r="N30" s="122">
        <f t="shared" si="2"/>
        <v>0</v>
      </c>
      <c r="O30" s="122">
        <f t="shared" si="3"/>
        <v>0</v>
      </c>
      <c r="P30" s="122">
        <f t="shared" si="9"/>
        <v>0</v>
      </c>
      <c r="Q30" s="122">
        <f t="shared" si="4"/>
        <v>0</v>
      </c>
      <c r="R30" s="122">
        <f t="shared" si="5"/>
        <v>0</v>
      </c>
      <c r="S30" s="122">
        <f t="shared" si="6"/>
        <v>0</v>
      </c>
      <c r="T30" s="122">
        <f t="shared" si="7"/>
        <v>0</v>
      </c>
      <c r="U30" s="122">
        <f t="shared" si="8"/>
        <v>0</v>
      </c>
      <c r="V30" s="30">
        <f t="shared" si="10"/>
        <v>0</v>
      </c>
      <c r="W30" s="30">
        <f t="shared" si="11"/>
        <v>0</v>
      </c>
      <c r="X30" s="30">
        <f t="shared" si="12"/>
        <v>0</v>
      </c>
      <c r="Y30" s="30">
        <f t="shared" si="12"/>
        <v>0</v>
      </c>
    </row>
    <row r="31" spans="1:26" ht="54.95" customHeight="1">
      <c r="A31" s="209">
        <v>28</v>
      </c>
      <c r="B31" s="210" t="s">
        <v>284</v>
      </c>
      <c r="C31" s="211">
        <v>1.7000000000000001E-2</v>
      </c>
      <c r="D31" s="212">
        <v>0</v>
      </c>
      <c r="E31" s="212">
        <v>0</v>
      </c>
      <c r="F31" s="212">
        <v>0</v>
      </c>
      <c r="G31" s="212">
        <v>1</v>
      </c>
      <c r="H31" s="212">
        <v>1</v>
      </c>
      <c r="I31" s="212">
        <v>4</v>
      </c>
      <c r="J31" s="213">
        <v>0</v>
      </c>
      <c r="K31" s="213">
        <v>0</v>
      </c>
      <c r="L31" s="213">
        <f t="shared" si="0"/>
        <v>0</v>
      </c>
      <c r="M31" s="214">
        <f t="shared" si="1"/>
        <v>0</v>
      </c>
      <c r="N31" s="122">
        <f t="shared" si="2"/>
        <v>0</v>
      </c>
      <c r="O31" s="122">
        <f t="shared" si="3"/>
        <v>0</v>
      </c>
      <c r="P31" s="122">
        <f t="shared" si="9"/>
        <v>0</v>
      </c>
      <c r="Q31" s="122">
        <f t="shared" si="4"/>
        <v>0</v>
      </c>
      <c r="R31" s="122">
        <f t="shared" si="5"/>
        <v>0</v>
      </c>
      <c r="S31" s="122">
        <f t="shared" si="6"/>
        <v>0</v>
      </c>
      <c r="T31" s="122">
        <f t="shared" si="7"/>
        <v>0</v>
      </c>
      <c r="U31" s="122">
        <f t="shared" si="8"/>
        <v>0</v>
      </c>
      <c r="V31" s="30">
        <f t="shared" si="10"/>
        <v>0</v>
      </c>
      <c r="W31" s="30">
        <f t="shared" si="11"/>
        <v>0</v>
      </c>
      <c r="X31" s="30">
        <f t="shared" si="12"/>
        <v>0</v>
      </c>
      <c r="Y31" s="30">
        <f t="shared" si="12"/>
        <v>0</v>
      </c>
    </row>
    <row r="32" spans="1:26" ht="54.95" customHeight="1">
      <c r="A32" s="209">
        <v>29</v>
      </c>
      <c r="B32" s="210" t="s">
        <v>285</v>
      </c>
      <c r="C32" s="211">
        <v>6.0000000000000001E-3</v>
      </c>
      <c r="D32" s="212">
        <v>0</v>
      </c>
      <c r="E32" s="212">
        <v>0</v>
      </c>
      <c r="F32" s="212">
        <v>0</v>
      </c>
      <c r="G32" s="212">
        <v>1</v>
      </c>
      <c r="H32" s="212">
        <v>4</v>
      </c>
      <c r="I32" s="212">
        <v>4</v>
      </c>
      <c r="J32" s="213">
        <v>0</v>
      </c>
      <c r="K32" s="213">
        <v>0</v>
      </c>
      <c r="L32" s="213">
        <f t="shared" si="0"/>
        <v>0</v>
      </c>
      <c r="M32" s="214">
        <f t="shared" si="1"/>
        <v>0</v>
      </c>
      <c r="N32" s="122">
        <f t="shared" si="2"/>
        <v>0</v>
      </c>
      <c r="O32" s="122">
        <f t="shared" si="3"/>
        <v>0</v>
      </c>
      <c r="P32" s="122">
        <f t="shared" si="9"/>
        <v>0</v>
      </c>
      <c r="Q32" s="122">
        <f t="shared" si="4"/>
        <v>0</v>
      </c>
      <c r="R32" s="122">
        <f t="shared" si="5"/>
        <v>0</v>
      </c>
      <c r="S32" s="122">
        <f t="shared" si="6"/>
        <v>0</v>
      </c>
      <c r="T32" s="122">
        <f t="shared" si="7"/>
        <v>0</v>
      </c>
      <c r="U32" s="122">
        <f t="shared" si="8"/>
        <v>0</v>
      </c>
      <c r="V32" s="30">
        <f t="shared" si="10"/>
        <v>0</v>
      </c>
      <c r="W32" s="30">
        <f t="shared" si="11"/>
        <v>0</v>
      </c>
      <c r="X32" s="30">
        <f t="shared" si="12"/>
        <v>0</v>
      </c>
      <c r="Y32" s="30">
        <f t="shared" si="12"/>
        <v>0</v>
      </c>
    </row>
    <row r="33" spans="1:26" ht="54.95" customHeight="1">
      <c r="A33" s="209">
        <v>30</v>
      </c>
      <c r="B33" s="210" t="s">
        <v>286</v>
      </c>
      <c r="C33" s="211">
        <v>5.0000000000000001E-3</v>
      </c>
      <c r="D33" s="212">
        <v>0</v>
      </c>
      <c r="E33" s="212">
        <v>0</v>
      </c>
      <c r="F33" s="212">
        <v>0</v>
      </c>
      <c r="G33" s="212">
        <v>1</v>
      </c>
      <c r="H33" s="212">
        <v>4</v>
      </c>
      <c r="I33" s="212">
        <v>4</v>
      </c>
      <c r="J33" s="213">
        <v>0</v>
      </c>
      <c r="K33" s="213">
        <v>0</v>
      </c>
      <c r="L33" s="213">
        <f t="shared" si="0"/>
        <v>0</v>
      </c>
      <c r="M33" s="214">
        <f t="shared" si="1"/>
        <v>0</v>
      </c>
      <c r="N33" s="122">
        <f t="shared" si="2"/>
        <v>0</v>
      </c>
      <c r="O33" s="122">
        <f t="shared" si="3"/>
        <v>0</v>
      </c>
      <c r="P33" s="122">
        <f t="shared" si="9"/>
        <v>0</v>
      </c>
      <c r="Q33" s="122">
        <f t="shared" si="4"/>
        <v>0</v>
      </c>
      <c r="R33" s="122">
        <f t="shared" si="5"/>
        <v>0</v>
      </c>
      <c r="S33" s="122">
        <f t="shared" si="6"/>
        <v>0</v>
      </c>
      <c r="T33" s="122">
        <f t="shared" si="7"/>
        <v>0</v>
      </c>
      <c r="U33" s="122">
        <f t="shared" si="8"/>
        <v>0</v>
      </c>
      <c r="V33" s="30">
        <f t="shared" si="10"/>
        <v>0</v>
      </c>
      <c r="W33" s="30">
        <f t="shared" si="11"/>
        <v>0</v>
      </c>
      <c r="X33" s="30">
        <f t="shared" si="12"/>
        <v>0</v>
      </c>
      <c r="Y33" s="30">
        <f t="shared" si="12"/>
        <v>0</v>
      </c>
    </row>
    <row r="34" spans="1:26" ht="54.95" customHeight="1">
      <c r="A34" s="209">
        <v>31</v>
      </c>
      <c r="B34" s="210" t="s">
        <v>287</v>
      </c>
      <c r="C34" s="211">
        <v>0.03</v>
      </c>
      <c r="D34" s="212">
        <v>0</v>
      </c>
      <c r="E34" s="212">
        <v>0</v>
      </c>
      <c r="F34" s="212">
        <v>0</v>
      </c>
      <c r="G34" s="212">
        <v>1</v>
      </c>
      <c r="H34" s="212">
        <v>4</v>
      </c>
      <c r="I34" s="212">
        <v>4</v>
      </c>
      <c r="J34" s="213">
        <v>0</v>
      </c>
      <c r="K34" s="213">
        <v>0</v>
      </c>
      <c r="L34" s="213">
        <f t="shared" si="0"/>
        <v>0</v>
      </c>
      <c r="M34" s="214">
        <f t="shared" si="1"/>
        <v>0</v>
      </c>
      <c r="N34" s="122">
        <f t="shared" si="2"/>
        <v>0</v>
      </c>
      <c r="O34" s="122">
        <f t="shared" si="3"/>
        <v>0</v>
      </c>
      <c r="P34" s="122">
        <f t="shared" si="9"/>
        <v>0</v>
      </c>
      <c r="Q34" s="122">
        <f t="shared" si="4"/>
        <v>0</v>
      </c>
      <c r="R34" s="122">
        <f t="shared" si="5"/>
        <v>0</v>
      </c>
      <c r="S34" s="122">
        <f t="shared" si="6"/>
        <v>0</v>
      </c>
      <c r="T34" s="122">
        <f t="shared" si="7"/>
        <v>0</v>
      </c>
      <c r="U34" s="122">
        <f t="shared" si="8"/>
        <v>0</v>
      </c>
      <c r="V34" s="30">
        <f t="shared" si="10"/>
        <v>0</v>
      </c>
      <c r="W34" s="30">
        <f t="shared" si="11"/>
        <v>0</v>
      </c>
      <c r="X34" s="30">
        <f t="shared" si="12"/>
        <v>0</v>
      </c>
      <c r="Y34" s="30">
        <f t="shared" si="12"/>
        <v>0</v>
      </c>
    </row>
    <row r="35" spans="1:26" ht="54.95" customHeight="1">
      <c r="A35" s="209">
        <v>32</v>
      </c>
      <c r="B35" s="210" t="s">
        <v>288</v>
      </c>
      <c r="C35" s="211">
        <v>6</v>
      </c>
      <c r="D35" s="212">
        <v>0</v>
      </c>
      <c r="E35" s="212">
        <v>1</v>
      </c>
      <c r="F35" s="212">
        <v>0</v>
      </c>
      <c r="G35" s="212">
        <v>1</v>
      </c>
      <c r="H35" s="212">
        <v>4</v>
      </c>
      <c r="I35" s="212">
        <v>4</v>
      </c>
      <c r="J35" s="213">
        <v>0</v>
      </c>
      <c r="K35" s="213">
        <v>0</v>
      </c>
      <c r="L35" s="213">
        <f t="shared" si="0"/>
        <v>0</v>
      </c>
      <c r="M35" s="214">
        <f t="shared" si="1"/>
        <v>0</v>
      </c>
      <c r="N35" s="122">
        <f t="shared" si="2"/>
        <v>0</v>
      </c>
      <c r="O35" s="122">
        <f t="shared" si="3"/>
        <v>0</v>
      </c>
      <c r="P35" s="122">
        <f t="shared" si="9"/>
        <v>0</v>
      </c>
      <c r="Q35" s="122">
        <f t="shared" si="4"/>
        <v>0</v>
      </c>
      <c r="R35" s="122">
        <f t="shared" si="5"/>
        <v>0</v>
      </c>
      <c r="S35" s="122">
        <f t="shared" si="6"/>
        <v>0</v>
      </c>
      <c r="T35" s="122">
        <f t="shared" si="7"/>
        <v>0</v>
      </c>
      <c r="U35" s="122">
        <f t="shared" si="8"/>
        <v>0</v>
      </c>
      <c r="V35" s="30">
        <f t="shared" si="10"/>
        <v>0</v>
      </c>
      <c r="W35" s="30">
        <f t="shared" si="11"/>
        <v>0</v>
      </c>
      <c r="X35" s="30">
        <f t="shared" si="12"/>
        <v>0</v>
      </c>
      <c r="Y35" s="30">
        <f t="shared" si="12"/>
        <v>0</v>
      </c>
    </row>
    <row r="36" spans="1:26" ht="54.95" customHeight="1">
      <c r="A36" s="209">
        <v>33</v>
      </c>
      <c r="B36" s="210" t="s">
        <v>244</v>
      </c>
      <c r="C36" s="211">
        <v>6</v>
      </c>
      <c r="D36" s="212">
        <v>0</v>
      </c>
      <c r="E36" s="212">
        <v>1</v>
      </c>
      <c r="F36" s="212">
        <v>0</v>
      </c>
      <c r="G36" s="212">
        <v>1</v>
      </c>
      <c r="H36" s="212">
        <v>4</v>
      </c>
      <c r="I36" s="212">
        <v>4</v>
      </c>
      <c r="J36" s="213">
        <v>0</v>
      </c>
      <c r="K36" s="213">
        <v>0</v>
      </c>
      <c r="L36" s="213">
        <f t="shared" si="0"/>
        <v>0</v>
      </c>
      <c r="M36" s="214">
        <f t="shared" si="1"/>
        <v>0</v>
      </c>
      <c r="N36" s="122">
        <f t="shared" si="2"/>
        <v>0</v>
      </c>
      <c r="O36" s="122">
        <f t="shared" si="3"/>
        <v>0</v>
      </c>
      <c r="P36" s="122">
        <f t="shared" si="9"/>
        <v>0</v>
      </c>
      <c r="Q36" s="122">
        <f t="shared" si="4"/>
        <v>0</v>
      </c>
      <c r="R36" s="122">
        <f t="shared" si="5"/>
        <v>0</v>
      </c>
      <c r="S36" s="122">
        <f t="shared" si="6"/>
        <v>0</v>
      </c>
      <c r="T36" s="122">
        <f t="shared" si="7"/>
        <v>0</v>
      </c>
      <c r="U36" s="122">
        <f t="shared" si="8"/>
        <v>0</v>
      </c>
      <c r="V36" s="30">
        <f t="shared" si="10"/>
        <v>0</v>
      </c>
      <c r="W36" s="30">
        <f t="shared" si="11"/>
        <v>0</v>
      </c>
      <c r="X36" s="30">
        <f t="shared" si="12"/>
        <v>0</v>
      </c>
      <c r="Y36" s="30">
        <f t="shared" si="12"/>
        <v>0</v>
      </c>
    </row>
    <row r="37" spans="1:26" ht="54.95" customHeight="1">
      <c r="A37" s="209">
        <v>34</v>
      </c>
      <c r="B37" s="210" t="s">
        <v>245</v>
      </c>
      <c r="C37" s="211">
        <v>1.1999999999999999E-3</v>
      </c>
      <c r="D37" s="212">
        <v>0</v>
      </c>
      <c r="E37" s="212">
        <v>0</v>
      </c>
      <c r="F37" s="212">
        <v>0</v>
      </c>
      <c r="G37" s="212">
        <v>1</v>
      </c>
      <c r="H37" s="212">
        <v>1</v>
      </c>
      <c r="I37" s="212">
        <v>4</v>
      </c>
      <c r="J37" s="213">
        <v>0</v>
      </c>
      <c r="K37" s="213">
        <v>0</v>
      </c>
      <c r="L37" s="213">
        <f t="shared" si="0"/>
        <v>0</v>
      </c>
      <c r="M37" s="214">
        <f t="shared" si="1"/>
        <v>0</v>
      </c>
      <c r="N37" s="122">
        <f t="shared" si="2"/>
        <v>0</v>
      </c>
      <c r="O37" s="122">
        <f t="shared" si="3"/>
        <v>0</v>
      </c>
      <c r="P37" s="122">
        <f t="shared" si="9"/>
        <v>0</v>
      </c>
      <c r="Q37" s="122">
        <f t="shared" si="4"/>
        <v>0</v>
      </c>
      <c r="R37" s="122">
        <f t="shared" si="5"/>
        <v>0</v>
      </c>
      <c r="S37" s="122">
        <f t="shared" si="6"/>
        <v>0</v>
      </c>
      <c r="T37" s="122">
        <f t="shared" si="7"/>
        <v>0</v>
      </c>
      <c r="U37" s="122">
        <f t="shared" si="8"/>
        <v>0</v>
      </c>
      <c r="V37" s="30">
        <f t="shared" si="10"/>
        <v>0</v>
      </c>
      <c r="W37" s="30">
        <f t="shared" si="11"/>
        <v>0</v>
      </c>
      <c r="X37" s="30">
        <f t="shared" si="12"/>
        <v>0</v>
      </c>
      <c r="Y37" s="30">
        <f t="shared" si="12"/>
        <v>0</v>
      </c>
    </row>
    <row r="38" spans="1:26" ht="54.95" customHeight="1">
      <c r="A38" s="209">
        <v>35</v>
      </c>
      <c r="B38" s="210" t="s">
        <v>246</v>
      </c>
      <c r="C38" s="211">
        <v>6.0000000000000001E-3</v>
      </c>
      <c r="D38" s="212">
        <v>0</v>
      </c>
      <c r="E38" s="212">
        <v>0</v>
      </c>
      <c r="F38" s="212">
        <v>0</v>
      </c>
      <c r="G38" s="212">
        <v>1</v>
      </c>
      <c r="H38" s="212">
        <v>1</v>
      </c>
      <c r="I38" s="212">
        <v>4</v>
      </c>
      <c r="J38" s="213">
        <v>0</v>
      </c>
      <c r="K38" s="213">
        <v>0</v>
      </c>
      <c r="L38" s="213">
        <f t="shared" si="0"/>
        <v>0</v>
      </c>
      <c r="M38" s="214">
        <f t="shared" si="1"/>
        <v>0</v>
      </c>
      <c r="N38" s="122">
        <f t="shared" si="2"/>
        <v>0</v>
      </c>
      <c r="O38" s="122">
        <f t="shared" si="3"/>
        <v>0</v>
      </c>
      <c r="P38" s="122">
        <f t="shared" si="9"/>
        <v>0</v>
      </c>
      <c r="Q38" s="122">
        <f t="shared" si="4"/>
        <v>0</v>
      </c>
      <c r="R38" s="122">
        <f t="shared" si="5"/>
        <v>0</v>
      </c>
      <c r="S38" s="122">
        <f t="shared" si="6"/>
        <v>0</v>
      </c>
      <c r="T38" s="122">
        <f t="shared" si="7"/>
        <v>0</v>
      </c>
      <c r="U38" s="122">
        <f t="shared" si="8"/>
        <v>0</v>
      </c>
      <c r="V38" s="30">
        <f t="shared" si="10"/>
        <v>0</v>
      </c>
      <c r="W38" s="30">
        <f t="shared" si="11"/>
        <v>0</v>
      </c>
      <c r="X38" s="30">
        <f t="shared" si="12"/>
        <v>0</v>
      </c>
      <c r="Y38" s="30">
        <f t="shared" si="12"/>
        <v>0</v>
      </c>
    </row>
    <row r="39" spans="1:26" ht="54.95" customHeight="1">
      <c r="A39" s="209">
        <v>36</v>
      </c>
      <c r="B39" s="210" t="s">
        <v>289</v>
      </c>
      <c r="C39" s="211">
        <v>2</v>
      </c>
      <c r="D39" s="212">
        <v>0</v>
      </c>
      <c r="E39" s="212">
        <v>1</v>
      </c>
      <c r="F39" s="212">
        <v>0</v>
      </c>
      <c r="G39" s="212">
        <v>1</v>
      </c>
      <c r="H39" s="212">
        <v>4</v>
      </c>
      <c r="I39" s="212">
        <v>4</v>
      </c>
      <c r="J39" s="213">
        <v>0</v>
      </c>
      <c r="K39" s="213">
        <v>0</v>
      </c>
      <c r="L39" s="213">
        <f t="shared" si="0"/>
        <v>0</v>
      </c>
      <c r="M39" s="214">
        <f t="shared" si="1"/>
        <v>0</v>
      </c>
      <c r="N39" s="122">
        <f t="shared" si="2"/>
        <v>0</v>
      </c>
      <c r="O39" s="122">
        <f t="shared" si="3"/>
        <v>0</v>
      </c>
      <c r="P39" s="122">
        <f t="shared" si="9"/>
        <v>0</v>
      </c>
      <c r="Q39" s="122">
        <f t="shared" si="4"/>
        <v>0</v>
      </c>
      <c r="R39" s="122">
        <f t="shared" si="5"/>
        <v>0</v>
      </c>
      <c r="S39" s="122">
        <f t="shared" si="6"/>
        <v>0</v>
      </c>
      <c r="T39" s="122">
        <f t="shared" si="7"/>
        <v>0</v>
      </c>
      <c r="U39" s="122">
        <f t="shared" si="8"/>
        <v>0</v>
      </c>
      <c r="V39" s="30">
        <f t="shared" si="10"/>
        <v>0</v>
      </c>
      <c r="W39" s="30">
        <f t="shared" si="11"/>
        <v>0</v>
      </c>
      <c r="X39" s="30">
        <f t="shared" si="12"/>
        <v>0</v>
      </c>
      <c r="Y39" s="30">
        <f t="shared" si="12"/>
        <v>0</v>
      </c>
    </row>
    <row r="40" spans="1:26" ht="54.95" customHeight="1">
      <c r="A40" s="209">
        <v>37</v>
      </c>
      <c r="B40" s="210" t="s">
        <v>290</v>
      </c>
      <c r="C40" s="211">
        <v>6</v>
      </c>
      <c r="D40" s="212">
        <v>0</v>
      </c>
      <c r="E40" s="212">
        <v>1</v>
      </c>
      <c r="F40" s="212">
        <v>0</v>
      </c>
      <c r="G40" s="212">
        <v>1</v>
      </c>
      <c r="H40" s="212">
        <v>4</v>
      </c>
      <c r="I40" s="212">
        <v>4</v>
      </c>
      <c r="J40" s="213">
        <v>0</v>
      </c>
      <c r="K40" s="213">
        <v>0</v>
      </c>
      <c r="L40" s="213">
        <f t="shared" si="0"/>
        <v>0</v>
      </c>
      <c r="M40" s="214">
        <f t="shared" si="1"/>
        <v>0</v>
      </c>
      <c r="N40" s="122">
        <f t="shared" si="2"/>
        <v>0</v>
      </c>
      <c r="O40" s="122">
        <f t="shared" si="3"/>
        <v>0</v>
      </c>
      <c r="P40" s="122">
        <f t="shared" si="9"/>
        <v>0</v>
      </c>
      <c r="Q40" s="122">
        <f t="shared" si="4"/>
        <v>0</v>
      </c>
      <c r="R40" s="122">
        <f t="shared" si="5"/>
        <v>0</v>
      </c>
      <c r="S40" s="122">
        <f t="shared" si="6"/>
        <v>0</v>
      </c>
      <c r="T40" s="122">
        <f t="shared" si="7"/>
        <v>0</v>
      </c>
      <c r="U40" s="122">
        <f t="shared" si="8"/>
        <v>0</v>
      </c>
      <c r="V40" s="30">
        <f t="shared" si="10"/>
        <v>0</v>
      </c>
      <c r="W40" s="30">
        <f t="shared" si="11"/>
        <v>0</v>
      </c>
      <c r="X40" s="30">
        <f t="shared" si="12"/>
        <v>0</v>
      </c>
      <c r="Y40" s="30">
        <f t="shared" si="12"/>
        <v>0</v>
      </c>
    </row>
    <row r="41" spans="1:26" ht="54.95" customHeight="1">
      <c r="A41" s="209">
        <v>38</v>
      </c>
      <c r="B41" s="210" t="s">
        <v>248</v>
      </c>
      <c r="C41" s="211">
        <v>1.5</v>
      </c>
      <c r="D41" s="212">
        <v>0</v>
      </c>
      <c r="E41" s="212">
        <v>1</v>
      </c>
      <c r="F41" s="212">
        <v>0</v>
      </c>
      <c r="G41" s="212">
        <v>0</v>
      </c>
      <c r="H41" s="212">
        <v>1</v>
      </c>
      <c r="I41" s="212">
        <v>2</v>
      </c>
      <c r="J41" s="213">
        <v>0</v>
      </c>
      <c r="K41" s="213">
        <v>0</v>
      </c>
      <c r="L41" s="213">
        <f t="shared" si="0"/>
        <v>0</v>
      </c>
      <c r="M41" s="214">
        <f t="shared" si="1"/>
        <v>0</v>
      </c>
      <c r="N41" s="122">
        <f t="shared" si="2"/>
        <v>0</v>
      </c>
      <c r="O41" s="122">
        <f t="shared" si="3"/>
        <v>0</v>
      </c>
      <c r="P41" s="122">
        <f t="shared" si="9"/>
        <v>0</v>
      </c>
      <c r="Q41" s="122">
        <f t="shared" si="4"/>
        <v>0</v>
      </c>
      <c r="R41" s="122">
        <f t="shared" si="5"/>
        <v>0</v>
      </c>
      <c r="S41" s="122">
        <f t="shared" si="6"/>
        <v>0</v>
      </c>
      <c r="T41" s="122">
        <f t="shared" si="7"/>
        <v>0</v>
      </c>
      <c r="U41" s="122">
        <f t="shared" si="8"/>
        <v>0</v>
      </c>
      <c r="V41" s="30">
        <f t="shared" si="10"/>
        <v>0</v>
      </c>
      <c r="W41" s="30">
        <f t="shared" si="11"/>
        <v>0</v>
      </c>
      <c r="X41" s="30">
        <f t="shared" si="12"/>
        <v>0</v>
      </c>
      <c r="Y41" s="30">
        <f t="shared" si="12"/>
        <v>0</v>
      </c>
    </row>
    <row r="42" spans="1:26" ht="54.95" customHeight="1">
      <c r="A42" s="209">
        <v>39</v>
      </c>
      <c r="B42" s="210" t="s">
        <v>291</v>
      </c>
      <c r="C42" s="211">
        <v>0.05</v>
      </c>
      <c r="D42" s="212">
        <v>0</v>
      </c>
      <c r="E42" s="212">
        <v>0</v>
      </c>
      <c r="F42" s="212">
        <v>1</v>
      </c>
      <c r="G42" s="212">
        <v>0</v>
      </c>
      <c r="H42" s="212">
        <v>1</v>
      </c>
      <c r="I42" s="212">
        <v>1</v>
      </c>
      <c r="J42" s="213">
        <v>0</v>
      </c>
      <c r="K42" s="213">
        <v>0</v>
      </c>
      <c r="L42" s="213">
        <f t="shared" si="0"/>
        <v>0</v>
      </c>
      <c r="M42" s="214">
        <f t="shared" si="1"/>
        <v>0</v>
      </c>
      <c r="N42" s="122">
        <f t="shared" si="2"/>
        <v>0</v>
      </c>
      <c r="O42" s="122">
        <f t="shared" si="3"/>
        <v>0</v>
      </c>
      <c r="P42" s="122">
        <f t="shared" si="9"/>
        <v>0</v>
      </c>
      <c r="Q42" s="122">
        <f t="shared" si="4"/>
        <v>0</v>
      </c>
      <c r="R42" s="122">
        <f t="shared" si="5"/>
        <v>0</v>
      </c>
      <c r="S42" s="122">
        <f t="shared" si="6"/>
        <v>0</v>
      </c>
      <c r="T42" s="122">
        <f t="shared" si="7"/>
        <v>0</v>
      </c>
      <c r="U42" s="122">
        <f t="shared" si="8"/>
        <v>0</v>
      </c>
      <c r="V42" s="30">
        <f t="shared" si="10"/>
        <v>0</v>
      </c>
      <c r="W42" s="30">
        <f t="shared" si="11"/>
        <v>0</v>
      </c>
      <c r="X42" s="30">
        <f t="shared" si="12"/>
        <v>0</v>
      </c>
      <c r="Y42" s="30">
        <f t="shared" si="12"/>
        <v>0</v>
      </c>
    </row>
    <row r="43" spans="1:26" ht="54.95" customHeight="1">
      <c r="A43" s="377" t="s">
        <v>158</v>
      </c>
      <c r="B43" s="377"/>
      <c r="C43" s="378" t="s">
        <v>91</v>
      </c>
      <c r="D43" s="378"/>
      <c r="E43" s="378"/>
      <c r="F43" s="378"/>
      <c r="G43" s="378"/>
      <c r="H43" s="378"/>
      <c r="I43" s="378"/>
      <c r="J43" s="378"/>
      <c r="K43" s="378"/>
      <c r="L43" s="215">
        <f t="shared" ref="L43:Y43" si="13">SUM(L4:L42)</f>
        <v>0</v>
      </c>
      <c r="M43" s="215">
        <f t="shared" si="13"/>
        <v>0</v>
      </c>
      <c r="N43" s="127">
        <f t="shared" si="13"/>
        <v>0</v>
      </c>
      <c r="O43" s="127">
        <f t="shared" si="13"/>
        <v>0</v>
      </c>
      <c r="P43" s="127">
        <f t="shared" si="13"/>
        <v>0</v>
      </c>
      <c r="Q43" s="127">
        <f t="shared" si="13"/>
        <v>0</v>
      </c>
      <c r="R43" s="127">
        <f t="shared" si="13"/>
        <v>0</v>
      </c>
      <c r="S43" s="127">
        <f t="shared" si="13"/>
        <v>0</v>
      </c>
      <c r="T43" s="127">
        <f t="shared" si="13"/>
        <v>0</v>
      </c>
      <c r="U43" s="127">
        <f t="shared" si="13"/>
        <v>0</v>
      </c>
      <c r="V43" s="127">
        <f t="shared" si="13"/>
        <v>0</v>
      </c>
      <c r="W43" s="127">
        <f t="shared" si="13"/>
        <v>0</v>
      </c>
      <c r="X43" s="127">
        <f t="shared" si="13"/>
        <v>0</v>
      </c>
      <c r="Y43" s="127">
        <f t="shared" si="13"/>
        <v>0</v>
      </c>
    </row>
    <row r="44" spans="1:26" ht="54.95" customHeight="1">
      <c r="A44" s="379" t="s">
        <v>160</v>
      </c>
      <c r="B44" s="379"/>
      <c r="C44" s="379"/>
      <c r="D44" s="379"/>
      <c r="E44" s="379"/>
      <c r="F44" s="379"/>
      <c r="G44" s="379"/>
      <c r="H44" s="379"/>
      <c r="I44" s="379"/>
      <c r="J44" s="379"/>
      <c r="K44" s="379"/>
      <c r="L44" s="379"/>
      <c r="M44" s="216">
        <v>8</v>
      </c>
      <c r="X44" s="29"/>
      <c r="Y44" s="29"/>
    </row>
    <row r="45" spans="1:26" s="29" customFormat="1" ht="54.95" customHeight="1">
      <c r="A45" s="3"/>
      <c r="B45" s="3"/>
      <c r="C45" s="125"/>
      <c r="D45" s="126"/>
      <c r="E45" s="126"/>
      <c r="F45" s="126"/>
      <c r="G45" s="126"/>
      <c r="H45" s="126"/>
      <c r="I45" s="126"/>
      <c r="J45" s="3"/>
      <c r="K45" s="3"/>
      <c r="L45" s="3"/>
      <c r="M45" s="2"/>
      <c r="X45" s="30"/>
      <c r="Y45" s="30"/>
      <c r="Z45" s="2"/>
    </row>
    <row r="46" spans="1:26" s="29" customFormat="1" ht="54.95" customHeight="1">
      <c r="A46" s="3"/>
      <c r="B46" s="3"/>
      <c r="C46" s="125"/>
      <c r="D46" s="126"/>
      <c r="E46" s="126"/>
      <c r="F46" s="126"/>
      <c r="G46" s="126"/>
      <c r="H46" s="126"/>
      <c r="I46" s="126"/>
      <c r="J46" s="3"/>
      <c r="K46" s="3"/>
      <c r="L46" s="3"/>
      <c r="M46" s="2"/>
      <c r="X46" s="30"/>
      <c r="Y46" s="30"/>
      <c r="Z46" s="2"/>
    </row>
    <row r="47" spans="1:26" s="29" customFormat="1" ht="54.95" customHeight="1">
      <c r="A47" s="3"/>
      <c r="B47" s="3"/>
      <c r="C47" s="125"/>
      <c r="D47" s="126"/>
      <c r="E47" s="126"/>
      <c r="F47" s="126"/>
      <c r="G47" s="126"/>
      <c r="H47" s="126"/>
      <c r="I47" s="126"/>
      <c r="J47" s="3"/>
      <c r="K47" s="3"/>
      <c r="L47" s="3"/>
      <c r="M47" s="2"/>
      <c r="X47" s="30"/>
      <c r="Y47" s="30"/>
      <c r="Z47" s="2"/>
    </row>
    <row r="48" spans="1:26" s="29" customFormat="1" ht="54.95" customHeight="1">
      <c r="A48" s="3"/>
      <c r="B48" s="3"/>
      <c r="C48" s="125"/>
      <c r="D48" s="126"/>
      <c r="E48" s="126"/>
      <c r="F48" s="126"/>
      <c r="G48" s="126"/>
      <c r="H48" s="126"/>
      <c r="I48" s="126"/>
      <c r="J48" s="3"/>
      <c r="K48" s="3"/>
      <c r="L48" s="3"/>
      <c r="M48" s="2"/>
      <c r="X48" s="30"/>
      <c r="Y48" s="30"/>
      <c r="Z48" s="2"/>
    </row>
    <row r="49" spans="1:26" s="29" customFormat="1" ht="54.95" customHeight="1">
      <c r="A49" s="3"/>
      <c r="B49" s="3"/>
      <c r="C49" s="125"/>
      <c r="D49" s="126"/>
      <c r="E49" s="126"/>
      <c r="F49" s="126"/>
      <c r="G49" s="126"/>
      <c r="H49" s="126"/>
      <c r="I49" s="126"/>
      <c r="J49" s="3"/>
      <c r="K49" s="3"/>
      <c r="L49" s="3"/>
      <c r="M49" s="2"/>
      <c r="X49" s="30"/>
      <c r="Y49" s="30"/>
      <c r="Z49" s="2"/>
    </row>
    <row r="50" spans="1:26" s="29" customFormat="1" ht="54.95" customHeight="1">
      <c r="A50" s="3"/>
      <c r="B50" s="3"/>
      <c r="C50" s="125"/>
      <c r="D50" s="126"/>
      <c r="E50" s="126"/>
      <c r="F50" s="126"/>
      <c r="G50" s="126"/>
      <c r="H50" s="126"/>
      <c r="I50" s="126"/>
      <c r="J50" s="3"/>
      <c r="K50" s="3"/>
      <c r="L50" s="3"/>
      <c r="M50" s="2"/>
      <c r="X50" s="30"/>
      <c r="Y50" s="30"/>
      <c r="Z50" s="2"/>
    </row>
    <row r="51" spans="1:26" s="29" customFormat="1" ht="54.95" customHeight="1">
      <c r="A51" s="3"/>
      <c r="B51" s="3"/>
      <c r="C51" s="125"/>
      <c r="D51" s="126"/>
      <c r="E51" s="126"/>
      <c r="F51" s="126"/>
      <c r="G51" s="126"/>
      <c r="H51" s="126"/>
      <c r="I51" s="126"/>
      <c r="J51" s="3"/>
      <c r="K51" s="3"/>
      <c r="L51" s="3"/>
      <c r="M51" s="2"/>
      <c r="X51" s="30"/>
      <c r="Y51" s="30"/>
      <c r="Z51" s="2"/>
    </row>
    <row r="52" spans="1:26" s="29" customFormat="1" ht="54.95" customHeight="1">
      <c r="A52" s="3"/>
      <c r="B52" s="3"/>
      <c r="C52" s="125"/>
      <c r="D52" s="126"/>
      <c r="E52" s="126"/>
      <c r="F52" s="126"/>
      <c r="G52" s="126"/>
      <c r="H52" s="126"/>
      <c r="I52" s="126"/>
      <c r="J52" s="3"/>
      <c r="K52" s="3"/>
      <c r="L52" s="3"/>
      <c r="M52" s="2"/>
      <c r="X52" s="30"/>
      <c r="Y52" s="30"/>
      <c r="Z52" s="2"/>
    </row>
    <row r="53" spans="1:26" s="29" customFormat="1" ht="54.95" customHeight="1">
      <c r="A53" s="3"/>
      <c r="B53" s="3"/>
      <c r="C53" s="125"/>
      <c r="D53" s="126"/>
      <c r="E53" s="126"/>
      <c r="F53" s="126"/>
      <c r="G53" s="126"/>
      <c r="H53" s="126"/>
      <c r="I53" s="126"/>
      <c r="J53" s="3"/>
      <c r="K53" s="3"/>
      <c r="L53" s="3"/>
      <c r="M53" s="2"/>
      <c r="X53" s="30"/>
      <c r="Y53" s="30"/>
      <c r="Z53" s="2"/>
    </row>
    <row r="54" spans="1:26" s="29" customFormat="1" ht="54.95" customHeight="1">
      <c r="A54" s="3"/>
      <c r="B54" s="3"/>
      <c r="C54" s="125"/>
      <c r="D54" s="126"/>
      <c r="E54" s="126"/>
      <c r="F54" s="126"/>
      <c r="G54" s="126"/>
      <c r="H54" s="126"/>
      <c r="I54" s="126"/>
      <c r="J54" s="3"/>
      <c r="K54" s="3"/>
      <c r="L54" s="3"/>
      <c r="M54" s="2"/>
      <c r="X54" s="30"/>
      <c r="Y54" s="30"/>
      <c r="Z54" s="2"/>
    </row>
    <row r="55" spans="1:26" ht="54.95" customHeight="1"/>
    <row r="56" spans="1:26" ht="54.95" customHeight="1"/>
    <row r="57" spans="1:26" ht="54.95" customHeight="1"/>
    <row r="58" spans="1:26" ht="54.95" customHeight="1"/>
    <row r="59" spans="1:26" ht="54.95" customHeight="1"/>
    <row r="60" spans="1:26" ht="54.95" customHeight="1"/>
    <row r="61" spans="1:26" ht="54.95" customHeight="1"/>
    <row r="62" spans="1:26" ht="54.95" customHeight="1"/>
    <row r="63" spans="1:26" ht="54.95" customHeight="1"/>
    <row r="64" spans="1:26" ht="54.95" customHeight="1"/>
    <row r="65" ht="54.95" customHeight="1"/>
    <row r="66" ht="54.95" customHeight="1"/>
    <row r="67" ht="54.95" customHeight="1"/>
    <row r="68" ht="54.95" customHeight="1"/>
    <row r="69" ht="54.95" customHeight="1"/>
    <row r="70" ht="54.95" customHeight="1"/>
    <row r="71" ht="54.95" customHeight="1"/>
    <row r="72" ht="54.95" customHeight="1"/>
    <row r="73" ht="54.95" customHeight="1"/>
    <row r="74" ht="54.95" customHeight="1"/>
    <row r="75" ht="54.95" customHeight="1"/>
    <row r="76" ht="54.95" customHeight="1"/>
    <row r="77" ht="54.95" customHeight="1"/>
    <row r="78" ht="54.95" customHeight="1"/>
    <row r="79" ht="54.95" customHeight="1"/>
    <row r="80" ht="54.95" customHeight="1"/>
    <row r="81" ht="54.95" customHeight="1"/>
    <row r="82" ht="54.95" customHeight="1"/>
    <row r="83" ht="54.95" customHeight="1"/>
    <row r="84" ht="54.95" customHeight="1"/>
    <row r="85" ht="54.95" customHeight="1"/>
    <row r="86" ht="54.95" customHeight="1"/>
    <row r="87" ht="54.95" customHeight="1"/>
    <row r="88" ht="54.95" customHeight="1"/>
    <row r="89" ht="54.95" customHeight="1"/>
    <row r="90" ht="54.95" customHeight="1"/>
    <row r="91" ht="54.95" customHeight="1"/>
    <row r="92" ht="54.95" customHeight="1"/>
    <row r="93" ht="54.95" customHeight="1"/>
    <row r="94" ht="54.95" customHeight="1"/>
    <row r="95" ht="54.95" customHeight="1"/>
    <row r="96" ht="54.95" customHeight="1"/>
    <row r="97" ht="54.95" customHeight="1"/>
    <row r="98" ht="54.95" customHeight="1"/>
    <row r="99" ht="54.95" customHeight="1"/>
    <row r="100" ht="54.95" customHeight="1"/>
    <row r="101" ht="54.95" customHeight="1"/>
    <row r="102" ht="54.95" customHeight="1"/>
    <row r="103" ht="54.95" customHeight="1"/>
    <row r="104" ht="54.95" customHeight="1"/>
    <row r="105" ht="54.95" customHeight="1"/>
    <row r="106" ht="54.95" customHeight="1"/>
    <row r="107" ht="54.95" customHeight="1"/>
    <row r="108" ht="54.95" customHeight="1"/>
    <row r="109" ht="54.95" customHeight="1"/>
    <row r="110" ht="54.95" customHeight="1"/>
    <row r="111" ht="54.95" customHeight="1"/>
    <row r="112" ht="54.95" customHeight="1"/>
    <row r="113" ht="54.95" customHeight="1"/>
    <row r="114" ht="54.95" customHeight="1"/>
    <row r="115" ht="54.95" customHeight="1"/>
    <row r="116" ht="54.95" customHeight="1"/>
    <row r="117" ht="54.95" customHeight="1"/>
    <row r="118" ht="54.95" customHeight="1"/>
    <row r="119" ht="54.95" customHeight="1"/>
    <row r="120" ht="54.95" customHeight="1"/>
    <row r="121" ht="54.95" customHeight="1"/>
    <row r="122" ht="54.95" customHeight="1"/>
    <row r="123" ht="54.95" customHeight="1"/>
    <row r="124" ht="54.95" customHeight="1"/>
    <row r="125" ht="54.95" customHeight="1"/>
    <row r="126" ht="54.95" customHeight="1"/>
    <row r="127" ht="54.95" customHeight="1"/>
    <row r="128" ht="54.95" customHeight="1"/>
    <row r="129" ht="54.95" customHeight="1"/>
    <row r="130" ht="54.95" customHeight="1"/>
    <row r="131" ht="54.95" customHeight="1"/>
    <row r="132" ht="54.95" customHeight="1"/>
    <row r="133" ht="54.95" customHeight="1"/>
    <row r="134" ht="54.95" customHeight="1"/>
    <row r="135" ht="54.95" customHeight="1"/>
    <row r="136" ht="54.95" customHeight="1"/>
    <row r="137" ht="54.95" customHeight="1"/>
    <row r="138" ht="54.95" customHeight="1"/>
    <row r="139" ht="54.95" customHeight="1"/>
    <row r="140" ht="54.95" customHeight="1"/>
    <row r="141" ht="54.95" customHeight="1"/>
    <row r="142" ht="54.95" customHeight="1"/>
    <row r="143" ht="54.95" customHeight="1"/>
    <row r="144" ht="54.95" customHeight="1"/>
    <row r="145" ht="54.95" customHeight="1"/>
    <row r="146" ht="54.95" customHeight="1"/>
    <row r="147" ht="54.95" customHeight="1"/>
    <row r="148" ht="54.95" customHeight="1"/>
    <row r="149" ht="54.95" customHeight="1"/>
    <row r="150" ht="54.95" customHeight="1"/>
    <row r="151" ht="54.95" customHeight="1"/>
    <row r="152" ht="54.95" customHeight="1"/>
    <row r="153" ht="54.95" customHeight="1"/>
    <row r="154" ht="54.95" customHeight="1"/>
    <row r="155" ht="54.95" customHeight="1"/>
    <row r="156" ht="54.95" customHeight="1"/>
    <row r="157" ht="54.95" customHeight="1"/>
    <row r="158" ht="54.95" customHeight="1"/>
    <row r="159" ht="54.95" customHeight="1"/>
    <row r="160" ht="54.95" customHeight="1"/>
    <row r="161" ht="54.95" customHeight="1"/>
    <row r="162" ht="54.95" customHeight="1"/>
    <row r="163" ht="54.95" customHeight="1"/>
    <row r="164" ht="54.95" customHeight="1"/>
    <row r="165" ht="54.95" customHeight="1"/>
    <row r="166" ht="54.95" customHeight="1"/>
    <row r="167" ht="54.95" customHeight="1"/>
    <row r="168" ht="54.95" customHeight="1"/>
    <row r="169" ht="54.95" customHeight="1"/>
    <row r="170" ht="54.95" customHeight="1"/>
    <row r="171" ht="54.95" customHeight="1"/>
    <row r="172" ht="54.95" customHeight="1"/>
    <row r="173" ht="54.95" customHeight="1"/>
    <row r="174" ht="54.95" customHeight="1"/>
    <row r="175" ht="54.95" customHeight="1"/>
    <row r="176" ht="54.95" customHeight="1"/>
    <row r="177" spans="1:25" ht="54.95" customHeight="1"/>
    <row r="178" spans="1:25" ht="54.95" customHeight="1"/>
    <row r="179" spans="1:25" ht="54.95" customHeight="1"/>
    <row r="180" spans="1:25" ht="54.95" customHeight="1"/>
    <row r="181" spans="1:25" ht="54.95" customHeight="1"/>
    <row r="182" spans="1:25" ht="54.95" customHeight="1"/>
    <row r="183" spans="1:25" s="2" customFormat="1" ht="54.95" customHeight="1">
      <c r="A183" s="3"/>
      <c r="B183" s="3"/>
      <c r="C183" s="125"/>
      <c r="D183" s="126"/>
      <c r="E183" s="126"/>
      <c r="F183" s="126"/>
      <c r="G183" s="126"/>
      <c r="H183" s="126"/>
      <c r="I183" s="126"/>
      <c r="J183" s="3"/>
      <c r="K183" s="3"/>
      <c r="L183" s="3"/>
      <c r="N183" s="29"/>
      <c r="O183" s="29"/>
      <c r="P183" s="29"/>
      <c r="Q183" s="29"/>
      <c r="R183" s="29"/>
      <c r="S183" s="29"/>
      <c r="T183" s="29"/>
      <c r="U183" s="29"/>
      <c r="V183" s="29"/>
      <c r="W183" s="29"/>
      <c r="X183" s="30"/>
      <c r="Y183" s="30"/>
    </row>
    <row r="184" spans="1:25" s="2" customFormat="1" ht="54.95" customHeight="1">
      <c r="A184" s="3"/>
      <c r="B184" s="3"/>
      <c r="C184" s="125"/>
      <c r="D184" s="126"/>
      <c r="E184" s="126"/>
      <c r="F184" s="126"/>
      <c r="G184" s="126"/>
      <c r="H184" s="126"/>
      <c r="I184" s="126"/>
      <c r="J184" s="3"/>
      <c r="K184" s="3"/>
      <c r="L184" s="3"/>
      <c r="N184" s="29"/>
      <c r="O184" s="29"/>
      <c r="P184" s="29"/>
      <c r="Q184" s="29"/>
      <c r="R184" s="29"/>
      <c r="S184" s="29"/>
      <c r="T184" s="29"/>
      <c r="U184" s="29"/>
      <c r="V184" s="29"/>
      <c r="W184" s="29"/>
      <c r="X184" s="30"/>
      <c r="Y184" s="30"/>
    </row>
    <row r="185" spans="1:25" s="2" customFormat="1" ht="54.95" customHeight="1">
      <c r="A185" s="3"/>
      <c r="B185" s="3"/>
      <c r="C185" s="125"/>
      <c r="D185" s="126"/>
      <c r="E185" s="126"/>
      <c r="F185" s="126"/>
      <c r="G185" s="126"/>
      <c r="H185" s="126"/>
      <c r="I185" s="126"/>
      <c r="J185" s="3"/>
      <c r="K185" s="3"/>
      <c r="L185" s="3"/>
      <c r="N185" s="29"/>
      <c r="O185" s="29"/>
      <c r="P185" s="29"/>
      <c r="Q185" s="29"/>
      <c r="R185" s="29"/>
      <c r="S185" s="29"/>
      <c r="T185" s="29"/>
      <c r="U185" s="29"/>
      <c r="V185" s="29"/>
      <c r="W185" s="29"/>
      <c r="X185" s="30"/>
      <c r="Y185" s="30"/>
    </row>
    <row r="186" spans="1:25" s="2" customFormat="1" ht="54.95" customHeight="1">
      <c r="A186" s="3"/>
      <c r="B186" s="3"/>
      <c r="C186" s="125"/>
      <c r="D186" s="126"/>
      <c r="E186" s="126"/>
      <c r="F186" s="126"/>
      <c r="G186" s="126"/>
      <c r="H186" s="126"/>
      <c r="I186" s="126"/>
      <c r="J186" s="3"/>
      <c r="K186" s="3"/>
      <c r="L186" s="3"/>
      <c r="N186" s="29"/>
      <c r="O186" s="29"/>
      <c r="P186" s="29"/>
      <c r="Q186" s="29"/>
      <c r="R186" s="29"/>
      <c r="S186" s="29"/>
      <c r="T186" s="29"/>
      <c r="U186" s="29"/>
      <c r="V186" s="29"/>
      <c r="W186" s="29"/>
      <c r="X186" s="30"/>
      <c r="Y186" s="30"/>
    </row>
    <row r="187" spans="1:25" s="2" customFormat="1" ht="54.95" customHeight="1">
      <c r="A187" s="3"/>
      <c r="B187" s="3"/>
      <c r="C187" s="125"/>
      <c r="D187" s="126"/>
      <c r="E187" s="126"/>
      <c r="F187" s="126"/>
      <c r="G187" s="126"/>
      <c r="H187" s="126"/>
      <c r="I187" s="126"/>
      <c r="J187" s="3"/>
      <c r="K187" s="3"/>
      <c r="L187" s="3"/>
      <c r="N187" s="29"/>
      <c r="O187" s="29"/>
      <c r="P187" s="29"/>
      <c r="Q187" s="29"/>
      <c r="R187" s="29"/>
      <c r="S187" s="29"/>
      <c r="T187" s="29"/>
      <c r="U187" s="29"/>
      <c r="V187" s="29"/>
      <c r="W187" s="29"/>
      <c r="X187" s="30"/>
      <c r="Y187" s="30"/>
    </row>
    <row r="188" spans="1:25" s="2" customFormat="1" ht="54.95" customHeight="1">
      <c r="A188" s="3"/>
      <c r="B188" s="3"/>
      <c r="C188" s="125"/>
      <c r="D188" s="126"/>
      <c r="E188" s="126"/>
      <c r="F188" s="126"/>
      <c r="G188" s="126"/>
      <c r="H188" s="126"/>
      <c r="I188" s="126"/>
      <c r="J188" s="3"/>
      <c r="K188" s="3"/>
      <c r="L188" s="3"/>
      <c r="N188" s="29"/>
      <c r="O188" s="29"/>
      <c r="P188" s="29"/>
      <c r="Q188" s="29"/>
      <c r="R188" s="29"/>
      <c r="S188" s="29"/>
      <c r="T188" s="29"/>
      <c r="U188" s="29"/>
      <c r="V188" s="29"/>
      <c r="W188" s="29"/>
      <c r="X188" s="30"/>
      <c r="Y188" s="30"/>
    </row>
    <row r="189" spans="1:25" s="2" customFormat="1" ht="54.95" customHeight="1">
      <c r="C189" s="135"/>
      <c r="D189" s="136"/>
      <c r="E189" s="136"/>
      <c r="F189" s="136"/>
      <c r="G189" s="136"/>
      <c r="H189" s="136"/>
      <c r="I189" s="136"/>
      <c r="N189" s="124"/>
      <c r="O189" s="124"/>
      <c r="P189" s="124"/>
      <c r="Q189" s="124"/>
      <c r="R189" s="124"/>
      <c r="S189" s="124"/>
      <c r="T189" s="124"/>
      <c r="U189" s="124"/>
      <c r="V189" s="124"/>
      <c r="W189" s="124"/>
      <c r="X189" s="121"/>
      <c r="Y189" s="121"/>
    </row>
    <row r="190" spans="1:25" s="15" customFormat="1" ht="54.95" hidden="1" customHeight="1">
      <c r="B190" s="15" t="str">
        <f>A43</f>
        <v>كميت سنجه عملكرد همسان شده :</v>
      </c>
      <c r="C190" s="128" t="s">
        <v>161</v>
      </c>
      <c r="D190" s="129"/>
      <c r="E190" s="129"/>
      <c r="F190" s="129"/>
      <c r="G190" s="129"/>
      <c r="H190" s="129"/>
      <c r="I190" s="129"/>
      <c r="N190" s="29"/>
      <c r="O190" s="29"/>
      <c r="P190" s="29"/>
      <c r="Q190" s="29"/>
      <c r="R190" s="29"/>
      <c r="S190" s="29"/>
      <c r="T190" s="29"/>
      <c r="U190" s="29"/>
      <c r="V190" s="29"/>
      <c r="W190" s="29"/>
      <c r="X190" s="30"/>
      <c r="Y190" s="30"/>
    </row>
    <row r="191" spans="1:25" s="15" customFormat="1" ht="54.95" hidden="1" customHeight="1">
      <c r="C191" s="128" t="s">
        <v>162</v>
      </c>
      <c r="D191" s="129"/>
      <c r="E191" s="129"/>
      <c r="F191" s="129"/>
      <c r="G191" s="129"/>
      <c r="H191" s="129"/>
      <c r="I191" s="129"/>
      <c r="N191" s="29"/>
      <c r="O191" s="29"/>
      <c r="P191" s="29"/>
      <c r="Q191" s="29"/>
      <c r="R191" s="29"/>
      <c r="S191" s="29"/>
      <c r="T191" s="29"/>
      <c r="U191" s="29"/>
      <c r="V191" s="29"/>
      <c r="W191" s="29"/>
      <c r="X191" s="30"/>
      <c r="Y191" s="30"/>
    </row>
    <row r="192" spans="1:25" s="2" customFormat="1" ht="54.95" customHeight="1">
      <c r="C192" s="135"/>
      <c r="D192" s="136"/>
      <c r="E192" s="136"/>
      <c r="F192" s="136"/>
      <c r="G192" s="136"/>
      <c r="H192" s="136"/>
      <c r="I192" s="136"/>
      <c r="N192" s="124"/>
      <c r="O192" s="124"/>
      <c r="P192" s="124"/>
      <c r="Q192" s="124"/>
      <c r="R192" s="124"/>
      <c r="S192" s="124"/>
      <c r="T192" s="124"/>
      <c r="U192" s="124"/>
      <c r="V192" s="124"/>
      <c r="W192" s="124"/>
      <c r="X192" s="121"/>
      <c r="Y192" s="121"/>
    </row>
    <row r="193" spans="1:25" s="2" customFormat="1" ht="54.95" customHeight="1">
      <c r="A193" s="3"/>
      <c r="B193" s="3"/>
      <c r="C193" s="125"/>
      <c r="D193" s="126"/>
      <c r="E193" s="126"/>
      <c r="F193" s="126"/>
      <c r="G193" s="126"/>
      <c r="H193" s="126"/>
      <c r="I193" s="126"/>
      <c r="J193" s="3"/>
      <c r="K193" s="3"/>
      <c r="L193" s="3"/>
      <c r="N193" s="29"/>
      <c r="O193" s="29"/>
      <c r="P193" s="29"/>
      <c r="Q193" s="29"/>
      <c r="R193" s="29"/>
      <c r="S193" s="29"/>
      <c r="T193" s="29"/>
      <c r="U193" s="29"/>
      <c r="V193" s="29"/>
      <c r="W193" s="29"/>
      <c r="X193" s="30"/>
      <c r="Y193" s="30"/>
    </row>
    <row r="194" spans="1:25" s="2" customFormat="1" ht="54.95" customHeight="1">
      <c r="A194" s="3"/>
      <c r="B194" s="3"/>
      <c r="C194" s="125"/>
      <c r="D194" s="126"/>
      <c r="E194" s="126"/>
      <c r="F194" s="126"/>
      <c r="G194" s="126"/>
      <c r="H194" s="126"/>
      <c r="I194" s="126"/>
      <c r="J194" s="3"/>
      <c r="K194" s="3"/>
      <c r="L194" s="3"/>
      <c r="N194" s="29"/>
      <c r="O194" s="29"/>
      <c r="P194" s="29"/>
      <c r="Q194" s="29"/>
      <c r="R194" s="29"/>
      <c r="S194" s="29"/>
      <c r="T194" s="29"/>
      <c r="U194" s="29"/>
      <c r="V194" s="29"/>
      <c r="W194" s="29"/>
      <c r="X194" s="30"/>
      <c r="Y194" s="30"/>
    </row>
    <row r="195" spans="1:25" s="2" customFormat="1" ht="54.95" customHeight="1">
      <c r="A195" s="3"/>
      <c r="B195" s="3"/>
      <c r="C195" s="125"/>
      <c r="D195" s="126"/>
      <c r="E195" s="126"/>
      <c r="F195" s="126"/>
      <c r="G195" s="126"/>
      <c r="H195" s="126"/>
      <c r="I195" s="126"/>
      <c r="J195" s="3"/>
      <c r="K195" s="3"/>
      <c r="L195" s="3"/>
      <c r="N195" s="29"/>
      <c r="O195" s="29"/>
      <c r="P195" s="29"/>
      <c r="Q195" s="29"/>
      <c r="R195" s="29"/>
      <c r="S195" s="29"/>
      <c r="T195" s="29"/>
      <c r="U195" s="29"/>
      <c r="V195" s="29"/>
      <c r="W195" s="29"/>
      <c r="X195" s="30"/>
      <c r="Y195" s="30"/>
    </row>
    <row r="196" spans="1:25" s="2" customFormat="1" ht="54.95" customHeight="1">
      <c r="A196" s="3"/>
      <c r="B196" s="3"/>
      <c r="C196" s="125"/>
      <c r="D196" s="126"/>
      <c r="E196" s="126"/>
      <c r="F196" s="126"/>
      <c r="G196" s="126"/>
      <c r="H196" s="126"/>
      <c r="I196" s="126"/>
      <c r="J196" s="3"/>
      <c r="K196" s="3"/>
      <c r="L196" s="3"/>
      <c r="N196" s="29"/>
      <c r="O196" s="29"/>
      <c r="P196" s="29"/>
      <c r="Q196" s="29"/>
      <c r="R196" s="29"/>
      <c r="S196" s="29"/>
      <c r="T196" s="29"/>
      <c r="U196" s="29"/>
      <c r="V196" s="29"/>
      <c r="W196" s="29"/>
      <c r="X196" s="30"/>
      <c r="Y196" s="30"/>
    </row>
    <row r="197" spans="1:25" s="2" customFormat="1" ht="54.95" customHeight="1">
      <c r="A197" s="3"/>
      <c r="B197" s="3"/>
      <c r="C197" s="125"/>
      <c r="D197" s="126"/>
      <c r="E197" s="126"/>
      <c r="F197" s="126"/>
      <c r="G197" s="126"/>
      <c r="H197" s="126"/>
      <c r="I197" s="126"/>
      <c r="J197" s="3"/>
      <c r="K197" s="3"/>
      <c r="L197" s="3"/>
      <c r="N197" s="29"/>
      <c r="O197" s="29"/>
      <c r="P197" s="29"/>
      <c r="Q197" s="29"/>
      <c r="R197" s="29"/>
      <c r="S197" s="29"/>
      <c r="T197" s="29"/>
      <c r="U197" s="29"/>
      <c r="V197" s="29"/>
      <c r="W197" s="29"/>
      <c r="X197" s="30"/>
      <c r="Y197" s="30"/>
    </row>
    <row r="198" spans="1:25" s="2" customFormat="1" ht="54.95" customHeight="1">
      <c r="A198" s="3"/>
      <c r="B198" s="3"/>
      <c r="C198" s="125"/>
      <c r="D198" s="126"/>
      <c r="E198" s="126"/>
      <c r="F198" s="126"/>
      <c r="G198" s="126"/>
      <c r="H198" s="126"/>
      <c r="I198" s="126"/>
      <c r="J198" s="3"/>
      <c r="K198" s="3"/>
      <c r="L198" s="3"/>
      <c r="N198" s="29"/>
      <c r="O198" s="29"/>
      <c r="P198" s="29"/>
      <c r="Q198" s="29"/>
      <c r="R198" s="29"/>
      <c r="S198" s="29"/>
      <c r="T198" s="29"/>
      <c r="U198" s="29"/>
      <c r="V198" s="29"/>
      <c r="W198" s="29"/>
      <c r="X198" s="30"/>
      <c r="Y198" s="30"/>
    </row>
    <row r="199" spans="1:25" ht="54.95" customHeight="1"/>
    <row r="200" spans="1:25" ht="54.95" customHeight="1"/>
    <row r="201" spans="1:25" ht="54.95" customHeight="1"/>
    <row r="202" spans="1:25" ht="54.95" customHeight="1"/>
    <row r="203" spans="1:25" ht="54.95" customHeight="1"/>
    <row r="204" spans="1:25" ht="54.95" customHeight="1"/>
    <row r="205" spans="1:25" ht="54.95" customHeight="1"/>
    <row r="206" spans="1:25" ht="54.95" customHeight="1"/>
    <row r="207" spans="1:25" ht="54.95" customHeight="1"/>
    <row r="208" spans="1:25" ht="54.95" customHeight="1"/>
    <row r="209" ht="54.95" customHeight="1"/>
    <row r="210" ht="54.95" customHeight="1"/>
    <row r="211" ht="54.95" customHeight="1"/>
    <row r="212" ht="54.95" customHeight="1"/>
    <row r="213" ht="54.95" customHeight="1"/>
    <row r="214" ht="54.95" customHeight="1"/>
    <row r="215" ht="54.95" customHeight="1"/>
    <row r="216" ht="54.95" customHeight="1"/>
    <row r="217" ht="54.95" customHeight="1"/>
    <row r="218" ht="54.95" customHeight="1"/>
    <row r="219" ht="54.95" customHeight="1"/>
    <row r="220" ht="54.95" customHeight="1"/>
    <row r="221" ht="54.95" customHeight="1"/>
    <row r="222" ht="54.95" customHeight="1"/>
    <row r="223" ht="54.95" customHeight="1"/>
    <row r="224" ht="54.95" customHeight="1"/>
    <row r="225" ht="54.95" customHeight="1"/>
    <row r="226" ht="54.95" customHeight="1"/>
    <row r="227" ht="54.95" customHeight="1"/>
    <row r="228" ht="54.95" customHeight="1"/>
    <row r="229" ht="54.95" customHeight="1"/>
    <row r="230" ht="54.95" customHeight="1"/>
    <row r="231" ht="54.95" customHeight="1"/>
    <row r="232" ht="54.95" customHeight="1"/>
    <row r="233" ht="54.95" customHeight="1"/>
    <row r="234" ht="54.95" customHeight="1"/>
    <row r="235" ht="54.95" customHeight="1"/>
    <row r="236" ht="54.95" customHeight="1"/>
    <row r="237" ht="54.95" customHeight="1"/>
    <row r="238" ht="54.95" customHeight="1"/>
    <row r="239" ht="54.95" customHeight="1"/>
    <row r="240" ht="54.95" customHeight="1"/>
    <row r="241" ht="54.95" customHeight="1"/>
    <row r="242" ht="54.95" customHeight="1"/>
    <row r="243" ht="54.95" customHeight="1"/>
    <row r="244" ht="54.95" customHeight="1"/>
    <row r="245" ht="54.95" customHeight="1"/>
    <row r="246" ht="54.95" customHeight="1"/>
    <row r="247" ht="54.95" customHeight="1"/>
    <row r="248" ht="54.95" customHeight="1"/>
    <row r="249" ht="54.95" customHeight="1"/>
    <row r="250" ht="54.95" customHeight="1"/>
    <row r="251" ht="54.95" customHeight="1"/>
    <row r="252" ht="54.95" customHeight="1"/>
    <row r="253" ht="54.95" customHeight="1"/>
    <row r="254" ht="54.95" customHeight="1"/>
    <row r="255" ht="54.95" customHeight="1"/>
    <row r="256" ht="54.95" customHeight="1"/>
    <row r="257" ht="54.95" customHeight="1"/>
    <row r="258" ht="54.95" customHeight="1"/>
    <row r="259" ht="54.95" customHeight="1"/>
    <row r="260" ht="54.95" customHeight="1"/>
    <row r="261" ht="54.95" customHeight="1"/>
    <row r="262" ht="54.95" customHeight="1"/>
    <row r="263" ht="54.95" customHeight="1"/>
    <row r="264" ht="54.95" customHeight="1"/>
    <row r="265" ht="54.95" customHeight="1"/>
    <row r="266" ht="54.95" customHeight="1"/>
    <row r="267" ht="54.95" customHeight="1"/>
    <row r="268" ht="54.95" customHeight="1"/>
    <row r="269" ht="54.95" customHeight="1"/>
    <row r="270" ht="54.95" customHeight="1"/>
    <row r="271" ht="54.95" customHeight="1"/>
    <row r="272" ht="54.95" customHeight="1"/>
    <row r="273" ht="54.95" customHeight="1"/>
    <row r="274" ht="54.95" customHeight="1"/>
    <row r="275" ht="54.95" customHeight="1"/>
    <row r="276" ht="54.95" customHeight="1"/>
    <row r="277" ht="54.95" customHeight="1"/>
    <row r="278" ht="54.95" customHeight="1"/>
    <row r="279" ht="54.95" customHeight="1"/>
    <row r="280" ht="54.95" customHeight="1"/>
    <row r="281" ht="54.95" customHeight="1"/>
    <row r="282" ht="54.95" customHeight="1"/>
    <row r="283" ht="54.95" customHeight="1"/>
    <row r="284" ht="54.95" customHeight="1"/>
    <row r="285" ht="54.95" customHeight="1"/>
    <row r="286" ht="54.95" customHeight="1"/>
    <row r="287" ht="54.95" customHeight="1"/>
    <row r="288" ht="54.95" customHeight="1"/>
    <row r="289" ht="54.95" customHeight="1"/>
    <row r="290" ht="54.95" customHeight="1"/>
    <row r="291" ht="54.95" customHeight="1"/>
    <row r="292" ht="54.95" customHeight="1"/>
    <row r="293" ht="54.95" customHeight="1"/>
    <row r="294" ht="54.95" customHeight="1"/>
    <row r="295" ht="54.95" customHeight="1"/>
    <row r="296" ht="54.95" customHeight="1"/>
    <row r="297" ht="54.95" customHeight="1"/>
    <row r="298" ht="54.95" customHeight="1"/>
    <row r="299" ht="54.95" customHeight="1"/>
  </sheetData>
  <mergeCells count="13">
    <mergeCell ref="A43:B43"/>
    <mergeCell ref="C43:K43"/>
    <mergeCell ref="A44:L44"/>
    <mergeCell ref="A1:M1"/>
    <mergeCell ref="B2:B3"/>
    <mergeCell ref="C2:C3"/>
    <mergeCell ref="D2:G2"/>
    <mergeCell ref="H2:H3"/>
    <mergeCell ref="I2:I3"/>
    <mergeCell ref="J2:J3"/>
    <mergeCell ref="K2:K3"/>
    <mergeCell ref="L2:L3"/>
    <mergeCell ref="M2:M3"/>
  </mergeCells>
  <pageMargins left="0.7" right="0.7" top="0.75" bottom="0.75" header="0.3" footer="0.3"/>
  <pageSetup paperSize="9" scale="71"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rightToLeft="1" workbookViewId="0">
      <selection sqref="A1:C1"/>
    </sheetView>
  </sheetViews>
  <sheetFormatPr defaultRowHeight="27"/>
  <cols>
    <col min="1" max="1" width="18.33203125" style="60" customWidth="1"/>
    <col min="2" max="2" width="126.6640625" style="60" customWidth="1"/>
    <col min="3" max="3" width="18.33203125" style="60" customWidth="1"/>
    <col min="4" max="16384" width="9.33203125" style="60"/>
  </cols>
  <sheetData>
    <row r="1" spans="1:3" ht="66.75" customHeight="1">
      <c r="A1" s="387" t="s">
        <v>618</v>
      </c>
      <c r="B1" s="387"/>
      <c r="C1" s="387"/>
    </row>
    <row r="2" spans="1:3" s="62" customFormat="1" ht="30" customHeight="1">
      <c r="A2" s="388"/>
      <c r="B2" s="61" t="str">
        <f>'[13]سیاست ها و برنامه ها '!$A$1</f>
        <v xml:space="preserve"> اهداف کلی 1: تامین بهداشت و سلامت دام</v>
      </c>
      <c r="C2" s="389"/>
    </row>
    <row r="3" spans="1:3" s="62" customFormat="1" ht="30" customHeight="1">
      <c r="A3" s="388"/>
      <c r="B3" s="63" t="str">
        <f>'[13]سیاست ها و برنامه ها '!A2</f>
        <v xml:space="preserve"> راهبرد 1-1: ارتقاء شاخص های کنترل بیماری های قابل انتقال بین حیوان و انسان</v>
      </c>
      <c r="C3" s="389"/>
    </row>
    <row r="4" spans="1:3" s="62" customFormat="1" ht="30" customHeight="1">
      <c r="A4" s="388"/>
      <c r="B4" s="64" t="str">
        <f>CONCATENATE([13]روکش!A1," ",[13]روکش!B1)</f>
        <v xml:space="preserve"> عنوان هدف کمی: کاهش بروز بیماری های مشترک</v>
      </c>
      <c r="C4" s="389"/>
    </row>
    <row r="5" spans="1:3" s="62" customFormat="1" ht="30" customHeight="1">
      <c r="A5" s="388"/>
      <c r="B5" s="64" t="str">
        <f>CONCATENATE([13]روکش!A2,"  ",[13]روکش!B2,"     ",[13]روکش!C2,"  ",[13]روکش!D2)</f>
        <v>عنوان سنجه عملکرد:  هزار نوبت مایه کوبی     شاخص سنجه:  8</v>
      </c>
      <c r="C5" s="389"/>
    </row>
    <row r="6" spans="1:3" s="62" customFormat="1" ht="30" customHeight="1">
      <c r="A6" s="388"/>
      <c r="B6" s="64" t="s">
        <v>559</v>
      </c>
      <c r="C6" s="389"/>
    </row>
    <row r="7" spans="1:3" s="62" customFormat="1" ht="30" customHeight="1">
      <c r="A7" s="388"/>
      <c r="B7" s="64" t="s">
        <v>259</v>
      </c>
      <c r="C7" s="389"/>
    </row>
    <row r="8" spans="1:3" ht="30" customHeight="1">
      <c r="A8" s="388"/>
      <c r="B8" s="65" t="s">
        <v>260</v>
      </c>
      <c r="C8" s="389"/>
    </row>
    <row r="9" spans="1:3" s="66" customFormat="1" ht="30" customHeight="1">
      <c r="A9" s="388"/>
      <c r="B9" s="63" t="s">
        <v>261</v>
      </c>
      <c r="C9" s="389"/>
    </row>
    <row r="10" spans="1:3" s="68" customFormat="1" ht="30" customHeight="1">
      <c r="A10" s="388"/>
      <c r="B10" s="67" t="s">
        <v>262</v>
      </c>
      <c r="C10" s="389"/>
    </row>
    <row r="11" spans="1:3" s="68" customFormat="1" ht="30" customHeight="1">
      <c r="A11" s="388"/>
      <c r="B11" s="67" t="s">
        <v>263</v>
      </c>
      <c r="C11" s="389"/>
    </row>
    <row r="12" spans="1:3" s="68" customFormat="1" ht="30" customHeight="1">
      <c r="A12" s="388"/>
      <c r="B12" s="67" t="s">
        <v>266</v>
      </c>
      <c r="C12" s="389"/>
    </row>
    <row r="13" spans="1:3" s="68" customFormat="1" ht="30" customHeight="1">
      <c r="A13" s="388"/>
      <c r="B13" s="67" t="s">
        <v>1342</v>
      </c>
      <c r="C13" s="389"/>
    </row>
    <row r="14" spans="1:3" s="68" customFormat="1" ht="30" customHeight="1">
      <c r="A14" s="388"/>
      <c r="B14" s="144" t="s">
        <v>1343</v>
      </c>
      <c r="C14" s="389"/>
    </row>
    <row r="15" spans="1:3" ht="60.75" customHeight="1">
      <c r="A15" s="390"/>
      <c r="B15" s="390"/>
      <c r="C15" s="390"/>
    </row>
    <row r="16" spans="1:3" ht="22.5" customHeight="1"/>
    <row r="17" ht="22.5" customHeight="1"/>
  </sheetData>
  <dataConsolidate/>
  <mergeCells count="4">
    <mergeCell ref="A1:C1"/>
    <mergeCell ref="A2:A14"/>
    <mergeCell ref="C2:C14"/>
    <mergeCell ref="A15:C15"/>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8"/>
  <sheetViews>
    <sheetView showGridLines="0" rightToLeft="1" workbookViewId="0">
      <pane xSplit="11" topLeftCell="L1" activePane="topRight" state="frozen"/>
      <selection pane="topRight" activeCell="M2" sqref="M2"/>
    </sheetView>
  </sheetViews>
  <sheetFormatPr defaultRowHeight="18"/>
  <cols>
    <col min="1" max="1" width="15.5" customWidth="1"/>
    <col min="2" max="2" width="11.5" customWidth="1"/>
    <col min="3" max="3" width="50.6640625" customWidth="1"/>
    <col min="4" max="4" width="15.83203125" customWidth="1"/>
    <col min="5" max="10" width="9.83203125" customWidth="1"/>
    <col min="11" max="11" width="15.83203125" customWidth="1"/>
    <col min="12" max="12" width="12.1640625" customWidth="1"/>
  </cols>
  <sheetData>
    <row r="1" spans="1:11" ht="85.5" customHeight="1">
      <c r="A1" s="391" t="s">
        <v>721</v>
      </c>
      <c r="B1" s="392"/>
      <c r="C1" s="392"/>
      <c r="D1" s="392"/>
      <c r="E1" s="392"/>
      <c r="F1" s="392"/>
      <c r="G1" s="392"/>
      <c r="H1" s="392"/>
      <c r="I1" s="392"/>
      <c r="J1" s="392"/>
      <c r="K1" s="393"/>
    </row>
    <row r="2" spans="1:11" ht="84.95" customHeight="1">
      <c r="A2" s="394"/>
      <c r="B2" s="217" t="s">
        <v>0</v>
      </c>
      <c r="C2" s="218" t="s">
        <v>633</v>
      </c>
      <c r="D2" s="219" t="s">
        <v>632</v>
      </c>
      <c r="E2" s="219">
        <v>1396</v>
      </c>
      <c r="F2" s="219">
        <v>1397</v>
      </c>
      <c r="G2" s="219">
        <v>1398</v>
      </c>
      <c r="H2" s="219">
        <v>1399</v>
      </c>
      <c r="I2" s="219">
        <v>1400</v>
      </c>
      <c r="J2" s="219">
        <v>1401</v>
      </c>
      <c r="K2" s="394"/>
    </row>
    <row r="3" spans="1:11" ht="42.6" customHeight="1">
      <c r="A3" s="395"/>
      <c r="B3" s="402" t="s">
        <v>629</v>
      </c>
      <c r="C3" s="400" t="s">
        <v>627</v>
      </c>
      <c r="D3" s="220" t="s">
        <v>636</v>
      </c>
      <c r="E3" s="221"/>
      <c r="F3" s="221"/>
      <c r="G3" s="221"/>
      <c r="H3" s="221"/>
      <c r="I3" s="221"/>
      <c r="J3" s="221"/>
      <c r="K3" s="395"/>
    </row>
    <row r="4" spans="1:11" ht="42.6" customHeight="1">
      <c r="A4" s="395"/>
      <c r="B4" s="403"/>
      <c r="C4" s="401"/>
      <c r="D4" s="220" t="s">
        <v>1409</v>
      </c>
      <c r="E4" s="221"/>
      <c r="F4" s="221"/>
      <c r="G4" s="221"/>
      <c r="H4" s="221"/>
      <c r="I4" s="221"/>
      <c r="J4" s="221"/>
      <c r="K4" s="395"/>
    </row>
    <row r="5" spans="1:11" ht="42.6" customHeight="1">
      <c r="A5" s="395"/>
      <c r="B5" s="402" t="s">
        <v>630</v>
      </c>
      <c r="C5" s="400" t="s">
        <v>634</v>
      </c>
      <c r="D5" s="220" t="s">
        <v>636</v>
      </c>
      <c r="E5" s="221"/>
      <c r="F5" s="221"/>
      <c r="G5" s="221"/>
      <c r="H5" s="221"/>
      <c r="I5" s="221"/>
      <c r="J5" s="221"/>
      <c r="K5" s="395"/>
    </row>
    <row r="6" spans="1:11" ht="42.6" customHeight="1">
      <c r="A6" s="396"/>
      <c r="B6" s="403"/>
      <c r="C6" s="401"/>
      <c r="D6" s="220" t="s">
        <v>1409</v>
      </c>
      <c r="E6" s="221"/>
      <c r="F6" s="221"/>
      <c r="G6" s="221"/>
      <c r="H6" s="221"/>
      <c r="I6" s="221"/>
      <c r="J6" s="221"/>
      <c r="K6" s="396"/>
    </row>
    <row r="7" spans="1:11" ht="42.6" customHeight="1">
      <c r="A7" s="396"/>
      <c r="B7" s="402" t="s">
        <v>631</v>
      </c>
      <c r="C7" s="400" t="s">
        <v>628</v>
      </c>
      <c r="D7" s="220" t="s">
        <v>636</v>
      </c>
      <c r="E7" s="221"/>
      <c r="F7" s="221"/>
      <c r="G7" s="221"/>
      <c r="H7" s="221"/>
      <c r="I7" s="221"/>
      <c r="J7" s="221"/>
      <c r="K7" s="396"/>
    </row>
    <row r="8" spans="1:11" ht="42.6" customHeight="1">
      <c r="A8" s="396"/>
      <c r="B8" s="403"/>
      <c r="C8" s="401"/>
      <c r="D8" s="220" t="s">
        <v>1409</v>
      </c>
      <c r="E8" s="221"/>
      <c r="F8" s="221"/>
      <c r="G8" s="221"/>
      <c r="H8" s="221"/>
      <c r="I8" s="221"/>
      <c r="J8" s="221"/>
      <c r="K8" s="396"/>
    </row>
    <row r="9" spans="1:11" ht="84.95" customHeight="1">
      <c r="A9" s="397"/>
      <c r="B9" s="398"/>
      <c r="C9" s="398"/>
      <c r="D9" s="398"/>
      <c r="E9" s="398"/>
      <c r="F9" s="398"/>
      <c r="G9" s="398"/>
      <c r="H9" s="398"/>
      <c r="I9" s="398"/>
      <c r="J9" s="398"/>
      <c r="K9" s="399"/>
    </row>
    <row r="10" spans="1:11" ht="45" customHeight="1"/>
    <row r="11" spans="1:11" ht="45" customHeight="1"/>
    <row r="12" spans="1:11" ht="45" customHeight="1"/>
    <row r="13" spans="1:11" ht="45" customHeight="1"/>
    <row r="14" spans="1:11" ht="45" customHeight="1"/>
    <row r="15" spans="1:11" ht="45" customHeight="1"/>
    <row r="16" spans="1:11"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row r="28" ht="45" customHeight="1"/>
  </sheetData>
  <mergeCells count="10">
    <mergeCell ref="A1:K1"/>
    <mergeCell ref="K2:K8"/>
    <mergeCell ref="A2:A8"/>
    <mergeCell ref="A9:K9"/>
    <mergeCell ref="C3:C4"/>
    <mergeCell ref="C5:C6"/>
    <mergeCell ref="C7:C8"/>
    <mergeCell ref="B3:B4"/>
    <mergeCell ref="B5:B6"/>
    <mergeCell ref="B7:B8"/>
  </mergeCells>
  <pageMargins left="0.7" right="0.7" top="0.75" bottom="0.75" header="0.3" footer="0.3"/>
  <pageSetup paperSize="9" orientation="portrait" r:id="rId1"/>
  <ignoredErrors>
    <ignoredError sqref="B3:B8" numberStoredAsText="1"/>
  </ignoredErrors>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rightToLeft="1" workbookViewId="0">
      <pane xSplit="8" topLeftCell="I1" activePane="topRight" state="frozen"/>
      <selection pane="topRight" sqref="A1:H1"/>
    </sheetView>
  </sheetViews>
  <sheetFormatPr defaultColWidth="25" defaultRowHeight="54.95" customHeight="1"/>
  <cols>
    <col min="1" max="1" width="13.6640625" style="147" customWidth="1"/>
    <col min="2" max="2" width="10.1640625" style="147" hidden="1" customWidth="1"/>
    <col min="3" max="3" width="10.1640625" style="147" customWidth="1"/>
    <col min="4" max="4" width="49.83203125" style="147" customWidth="1"/>
    <col min="5" max="6" width="26.5" style="147" customWidth="1"/>
    <col min="7" max="7" width="24.5" style="147" customWidth="1"/>
    <col min="8" max="8" width="12.5" style="147" customWidth="1"/>
    <col min="9" max="16384" width="25" style="147"/>
  </cols>
  <sheetData>
    <row r="1" spans="1:8" ht="24.95" customHeight="1">
      <c r="A1" s="405" t="s">
        <v>734</v>
      </c>
      <c r="B1" s="405"/>
      <c r="C1" s="405"/>
      <c r="D1" s="405"/>
      <c r="E1" s="405"/>
      <c r="F1" s="405"/>
      <c r="G1" s="405"/>
      <c r="H1" s="405"/>
    </row>
    <row r="2" spans="1:8" ht="24.95" customHeight="1">
      <c r="A2" s="405" t="s">
        <v>735</v>
      </c>
      <c r="B2" s="405"/>
      <c r="C2" s="405"/>
      <c r="D2" s="405"/>
      <c r="E2" s="405"/>
      <c r="F2" s="405"/>
      <c r="G2" s="405"/>
      <c r="H2" s="405"/>
    </row>
    <row r="3" spans="1:8" ht="24.95" customHeight="1">
      <c r="A3" s="405" t="s">
        <v>736</v>
      </c>
      <c r="B3" s="405"/>
      <c r="C3" s="405"/>
      <c r="D3" s="405"/>
      <c r="E3" s="405"/>
      <c r="F3" s="405"/>
      <c r="G3" s="405"/>
      <c r="H3" s="405"/>
    </row>
    <row r="4" spans="1:8" ht="24.95" customHeight="1">
      <c r="A4" s="405" t="s">
        <v>737</v>
      </c>
      <c r="B4" s="405"/>
      <c r="C4" s="405"/>
      <c r="D4" s="405"/>
      <c r="E4" s="405"/>
      <c r="F4" s="405"/>
      <c r="G4" s="405"/>
      <c r="H4" s="405"/>
    </row>
    <row r="5" spans="1:8" ht="24.95" customHeight="1">
      <c r="A5" s="404" t="s">
        <v>738</v>
      </c>
      <c r="B5" s="404"/>
      <c r="C5" s="404"/>
      <c r="D5" s="404"/>
      <c r="E5" s="404"/>
      <c r="F5" s="404"/>
      <c r="G5" s="404"/>
      <c r="H5" s="404"/>
    </row>
    <row r="6" spans="1:8" ht="24.95" customHeight="1">
      <c r="A6" s="404" t="s">
        <v>739</v>
      </c>
      <c r="B6" s="404"/>
      <c r="C6" s="404"/>
      <c r="D6" s="404"/>
      <c r="E6" s="404"/>
      <c r="F6" s="404"/>
      <c r="G6" s="404"/>
      <c r="H6" s="404"/>
    </row>
    <row r="7" spans="1:8" ht="24.95" customHeight="1">
      <c r="A7" s="404" t="s">
        <v>740</v>
      </c>
      <c r="B7" s="404"/>
      <c r="C7" s="404"/>
      <c r="D7" s="404"/>
      <c r="E7" s="404"/>
      <c r="F7" s="404"/>
      <c r="G7" s="404"/>
      <c r="H7" s="404"/>
    </row>
    <row r="8" spans="1:8" ht="24.95" customHeight="1">
      <c r="A8" s="404" t="s">
        <v>741</v>
      </c>
      <c r="B8" s="404"/>
      <c r="C8" s="404"/>
      <c r="D8" s="404"/>
      <c r="E8" s="404"/>
      <c r="F8" s="404"/>
      <c r="G8" s="404"/>
      <c r="H8" s="404"/>
    </row>
    <row r="9" spans="1:8" ht="24.95" customHeight="1">
      <c r="A9" s="404" t="s">
        <v>742</v>
      </c>
      <c r="B9" s="404"/>
      <c r="C9" s="404"/>
      <c r="D9" s="404"/>
      <c r="E9" s="404"/>
      <c r="F9" s="404"/>
      <c r="G9" s="404"/>
      <c r="H9" s="404"/>
    </row>
    <row r="10" spans="1:8" ht="38.1" customHeight="1">
      <c r="A10" s="404" t="s">
        <v>743</v>
      </c>
      <c r="B10" s="404"/>
      <c r="C10" s="404"/>
      <c r="D10" s="404"/>
      <c r="E10" s="404"/>
      <c r="F10" s="404"/>
      <c r="G10" s="404"/>
      <c r="H10" s="404"/>
    </row>
    <row r="11" spans="1:8" ht="24.95" customHeight="1">
      <c r="A11" s="404" t="s">
        <v>744</v>
      </c>
      <c r="B11" s="404"/>
      <c r="C11" s="404"/>
      <c r="D11" s="404"/>
      <c r="E11" s="404"/>
      <c r="F11" s="404"/>
      <c r="G11" s="404"/>
      <c r="H11" s="404"/>
    </row>
    <row r="12" spans="1:8" ht="24.95" customHeight="1">
      <c r="A12" s="404" t="s">
        <v>745</v>
      </c>
      <c r="B12" s="404"/>
      <c r="C12" s="404"/>
      <c r="D12" s="404"/>
      <c r="E12" s="404"/>
      <c r="F12" s="404"/>
      <c r="G12" s="404"/>
      <c r="H12" s="404"/>
    </row>
    <row r="13" spans="1:8" ht="38.1" customHeight="1">
      <c r="A13" s="404" t="s">
        <v>746</v>
      </c>
      <c r="B13" s="404"/>
      <c r="C13" s="404"/>
      <c r="D13" s="404"/>
      <c r="E13" s="404"/>
      <c r="F13" s="404"/>
      <c r="G13" s="404"/>
      <c r="H13" s="404"/>
    </row>
    <row r="14" spans="1:8" ht="24.95" customHeight="1">
      <c r="A14" s="404" t="s">
        <v>747</v>
      </c>
      <c r="B14" s="404"/>
      <c r="C14" s="404"/>
      <c r="D14" s="404"/>
      <c r="E14" s="404"/>
      <c r="F14" s="404"/>
      <c r="G14" s="404"/>
      <c r="H14" s="404"/>
    </row>
    <row r="15" spans="1:8" ht="24.95" customHeight="1">
      <c r="A15" s="404" t="s">
        <v>748</v>
      </c>
      <c r="B15" s="404"/>
      <c r="C15" s="404"/>
      <c r="D15" s="404"/>
      <c r="E15" s="404"/>
      <c r="F15" s="404"/>
      <c r="G15" s="404"/>
      <c r="H15" s="404"/>
    </row>
    <row r="16" spans="1:8" ht="24.95" customHeight="1">
      <c r="A16" s="404" t="s">
        <v>749</v>
      </c>
      <c r="B16" s="404"/>
      <c r="C16" s="404"/>
      <c r="D16" s="404"/>
      <c r="E16" s="404"/>
      <c r="F16" s="404"/>
      <c r="G16" s="404"/>
      <c r="H16" s="404"/>
    </row>
    <row r="17" spans="1:8" ht="24.95" customHeight="1">
      <c r="A17" s="404" t="s">
        <v>750</v>
      </c>
      <c r="B17" s="404"/>
      <c r="C17" s="404"/>
      <c r="D17" s="404"/>
      <c r="E17" s="404"/>
      <c r="F17" s="404"/>
      <c r="G17" s="404"/>
      <c r="H17" s="404"/>
    </row>
    <row r="18" spans="1:8" ht="24.95" customHeight="1">
      <c r="A18" s="404" t="s">
        <v>751</v>
      </c>
      <c r="B18" s="404"/>
      <c r="C18" s="404"/>
      <c r="D18" s="404"/>
      <c r="E18" s="404"/>
      <c r="F18" s="404"/>
      <c r="G18" s="404"/>
      <c r="H18" s="404"/>
    </row>
    <row r="19" spans="1:8" ht="24.95" customHeight="1">
      <c r="A19" s="404" t="s">
        <v>752</v>
      </c>
      <c r="B19" s="404"/>
      <c r="C19" s="404"/>
      <c r="D19" s="404"/>
      <c r="E19" s="404"/>
      <c r="F19" s="404"/>
      <c r="G19" s="404"/>
      <c r="H19" s="404"/>
    </row>
    <row r="20" spans="1:8" ht="24.95" customHeight="1">
      <c r="A20" s="404" t="s">
        <v>753</v>
      </c>
      <c r="B20" s="404"/>
      <c r="C20" s="404"/>
      <c r="D20" s="404"/>
      <c r="E20" s="404"/>
      <c r="F20" s="404"/>
      <c r="G20" s="404"/>
      <c r="H20" s="404"/>
    </row>
    <row r="21" spans="1:8" ht="24.95" customHeight="1">
      <c r="A21" s="404" t="s">
        <v>754</v>
      </c>
      <c r="B21" s="404"/>
      <c r="C21" s="404"/>
      <c r="D21" s="404"/>
      <c r="E21" s="404"/>
      <c r="F21" s="404"/>
      <c r="G21" s="404"/>
      <c r="H21" s="404"/>
    </row>
    <row r="22" spans="1:8" ht="24.95" customHeight="1">
      <c r="A22" s="404" t="s">
        <v>755</v>
      </c>
      <c r="B22" s="404"/>
      <c r="C22" s="404"/>
      <c r="D22" s="404"/>
      <c r="E22" s="404"/>
      <c r="F22" s="404"/>
      <c r="G22" s="404"/>
      <c r="H22" s="404"/>
    </row>
    <row r="23" spans="1:8" ht="24.95" customHeight="1">
      <c r="A23" s="404" t="s">
        <v>756</v>
      </c>
      <c r="B23" s="404"/>
      <c r="C23" s="404"/>
      <c r="D23" s="404"/>
      <c r="E23" s="404"/>
      <c r="F23" s="404"/>
      <c r="G23" s="404"/>
      <c r="H23" s="404"/>
    </row>
    <row r="24" spans="1:8" ht="24.95" customHeight="1" thickBot="1">
      <c r="A24" s="404" t="s">
        <v>757</v>
      </c>
      <c r="B24" s="404"/>
      <c r="C24" s="404"/>
      <c r="D24" s="404"/>
      <c r="E24" s="404"/>
      <c r="F24" s="404"/>
      <c r="G24" s="404"/>
      <c r="H24" s="404"/>
    </row>
    <row r="25" spans="1:8" s="146" customFormat="1" ht="47.25" customHeight="1" thickTop="1" thickBot="1">
      <c r="A25" s="408"/>
      <c r="B25" s="149" t="s">
        <v>0</v>
      </c>
      <c r="C25" s="222" t="s">
        <v>0</v>
      </c>
      <c r="D25" s="223" t="s">
        <v>626</v>
      </c>
      <c r="E25" s="224" t="s">
        <v>758</v>
      </c>
      <c r="F25" s="224" t="s">
        <v>1344</v>
      </c>
      <c r="G25" s="224" t="s">
        <v>760</v>
      </c>
      <c r="H25" s="409"/>
    </row>
    <row r="26" spans="1:8" s="146" customFormat="1" ht="39.950000000000003" customHeight="1" thickTop="1" thickBot="1">
      <c r="A26" s="408"/>
      <c r="B26" s="150" t="s">
        <v>761</v>
      </c>
      <c r="C26" s="225" t="s">
        <v>761</v>
      </c>
      <c r="D26" s="226" t="s">
        <v>627</v>
      </c>
      <c r="E26" s="227" t="s">
        <v>762</v>
      </c>
      <c r="F26" s="228">
        <v>5</v>
      </c>
      <c r="G26" s="229">
        <f>F26-(F26*25%)</f>
        <v>3.75</v>
      </c>
      <c r="H26" s="409"/>
    </row>
    <row r="27" spans="1:8" s="146" customFormat="1" ht="39.950000000000003" customHeight="1" thickTop="1" thickBot="1">
      <c r="A27" s="408"/>
      <c r="B27" s="151" t="s">
        <v>763</v>
      </c>
      <c r="C27" s="225" t="s">
        <v>763</v>
      </c>
      <c r="D27" s="226" t="s">
        <v>764</v>
      </c>
      <c r="E27" s="227" t="s">
        <v>762</v>
      </c>
      <c r="F27" s="228">
        <v>12</v>
      </c>
      <c r="G27" s="228">
        <f>F27-(F27*25%)</f>
        <v>9</v>
      </c>
      <c r="H27" s="409"/>
    </row>
    <row r="28" spans="1:8" s="146" customFormat="1" ht="39.950000000000003" customHeight="1" thickTop="1" thickBot="1">
      <c r="A28" s="408"/>
      <c r="B28" s="151" t="s">
        <v>765</v>
      </c>
      <c r="C28" s="225" t="s">
        <v>765</v>
      </c>
      <c r="D28" s="226" t="s">
        <v>628</v>
      </c>
      <c r="E28" s="227" t="s">
        <v>762</v>
      </c>
      <c r="F28" s="228">
        <v>3</v>
      </c>
      <c r="G28" s="229">
        <f>F28-(F28*25%)</f>
        <v>2.25</v>
      </c>
      <c r="H28" s="409"/>
    </row>
    <row r="29" spans="1:8" s="146" customFormat="1" ht="39.950000000000003" customHeight="1" thickTop="1">
      <c r="A29" s="408"/>
      <c r="B29" s="152" t="s">
        <v>766</v>
      </c>
      <c r="C29" s="225" t="s">
        <v>767</v>
      </c>
      <c r="D29" s="226" t="s">
        <v>768</v>
      </c>
      <c r="E29" s="227" t="s">
        <v>769</v>
      </c>
      <c r="F29" s="229">
        <v>0</v>
      </c>
      <c r="G29" s="229">
        <v>0</v>
      </c>
      <c r="H29" s="409"/>
    </row>
    <row r="30" spans="1:8" ht="65.099999999999994" customHeight="1">
      <c r="A30" s="406"/>
      <c r="B30" s="406"/>
      <c r="C30" s="406"/>
      <c r="D30" s="406"/>
      <c r="E30" s="406"/>
      <c r="F30" s="406"/>
      <c r="G30" s="406"/>
      <c r="H30" s="407"/>
    </row>
  </sheetData>
  <mergeCells count="27">
    <mergeCell ref="A30:H30"/>
    <mergeCell ref="A25:A29"/>
    <mergeCell ref="H25:H29"/>
    <mergeCell ref="A19:H19"/>
    <mergeCell ref="A20:H20"/>
    <mergeCell ref="A21:H21"/>
    <mergeCell ref="A22:H22"/>
    <mergeCell ref="A23:H23"/>
    <mergeCell ref="A24:H24"/>
    <mergeCell ref="A18:H18"/>
    <mergeCell ref="A7:H7"/>
    <mergeCell ref="A8:H8"/>
    <mergeCell ref="A9:H9"/>
    <mergeCell ref="A10:H10"/>
    <mergeCell ref="A11:H11"/>
    <mergeCell ref="A12:H12"/>
    <mergeCell ref="A13:H13"/>
    <mergeCell ref="A14:H14"/>
    <mergeCell ref="A15:H15"/>
    <mergeCell ref="A16:H16"/>
    <mergeCell ref="A17:H17"/>
    <mergeCell ref="A6:H6"/>
    <mergeCell ref="A1:H1"/>
    <mergeCell ref="A2:H2"/>
    <mergeCell ref="A3:H3"/>
    <mergeCell ref="A4:H4"/>
    <mergeCell ref="A5:H5"/>
  </mergeCells>
  <printOptions headings="1"/>
  <pageMargins left="0.7" right="0.7" top="0.75" bottom="0.75" header="0.3" footer="0.3"/>
  <pageSetup paperSize="9" scale="94"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1"/>
  <sheetViews>
    <sheetView showGridLines="0" rightToLeft="1" workbookViewId="0">
      <pane xSplit="14" topLeftCell="O1" activePane="topRight" state="frozen"/>
      <selection activeCell="F12" sqref="F12"/>
      <selection pane="topRight" sqref="A1:N1"/>
    </sheetView>
  </sheetViews>
  <sheetFormatPr defaultColWidth="10.6640625" defaultRowHeight="35.1" customHeight="1"/>
  <cols>
    <col min="1" max="1" width="7.6640625" style="35" customWidth="1"/>
    <col min="2" max="2" width="27.5" style="35" customWidth="1"/>
    <col min="3" max="3" width="13.1640625" style="35" customWidth="1"/>
    <col min="4" max="4" width="13.1640625" style="52" customWidth="1"/>
    <col min="5" max="13" width="10.1640625" style="52" customWidth="1"/>
    <col min="14" max="14" width="10.6640625" style="53" customWidth="1"/>
    <col min="15" max="18" width="8.6640625" style="32" customWidth="1"/>
    <col min="19" max="19" width="8.6640625" style="33" customWidth="1"/>
    <col min="20" max="20" width="13.33203125" style="34" customWidth="1"/>
    <col min="21" max="21" width="10.6640625" style="33"/>
    <col min="22" max="16384" width="10.6640625" style="35"/>
  </cols>
  <sheetData>
    <row r="1" spans="1:21" ht="42" customHeight="1">
      <c r="A1" s="411" t="s">
        <v>108</v>
      </c>
      <c r="B1" s="411"/>
      <c r="C1" s="411"/>
      <c r="D1" s="411"/>
      <c r="E1" s="411"/>
      <c r="F1" s="411"/>
      <c r="G1" s="411"/>
      <c r="H1" s="411"/>
      <c r="I1" s="411"/>
      <c r="J1" s="411"/>
      <c r="K1" s="411"/>
      <c r="L1" s="411"/>
      <c r="M1" s="411"/>
      <c r="N1" s="411"/>
    </row>
    <row r="2" spans="1:21" s="38" customFormat="1" ht="25.5" customHeight="1">
      <c r="A2" s="374" t="s">
        <v>0</v>
      </c>
      <c r="B2" s="374" t="s">
        <v>11</v>
      </c>
      <c r="C2" s="374" t="s">
        <v>102</v>
      </c>
      <c r="D2" s="375" t="s">
        <v>103</v>
      </c>
      <c r="E2" s="375" t="s">
        <v>104</v>
      </c>
      <c r="F2" s="375"/>
      <c r="G2" s="375"/>
      <c r="H2" s="375"/>
      <c r="I2" s="375"/>
      <c r="J2" s="375" t="s">
        <v>105</v>
      </c>
      <c r="K2" s="375"/>
      <c r="L2" s="375"/>
      <c r="M2" s="375"/>
      <c r="N2" s="375"/>
      <c r="O2" s="32"/>
      <c r="P2" s="32"/>
      <c r="Q2" s="32"/>
      <c r="R2" s="32"/>
      <c r="S2" s="36"/>
      <c r="T2" s="37"/>
      <c r="U2" s="36"/>
    </row>
    <row r="3" spans="1:21" s="38" customFormat="1" ht="20.100000000000001" customHeight="1">
      <c r="A3" s="374"/>
      <c r="B3" s="374"/>
      <c r="C3" s="374"/>
      <c r="D3" s="375"/>
      <c r="E3" s="375" t="s">
        <v>106</v>
      </c>
      <c r="F3" s="375"/>
      <c r="G3" s="410">
        <v>1397</v>
      </c>
      <c r="H3" s="410">
        <v>1398</v>
      </c>
      <c r="I3" s="410">
        <v>1399</v>
      </c>
      <c r="J3" s="410">
        <v>1400</v>
      </c>
      <c r="K3" s="410">
        <v>1401</v>
      </c>
      <c r="L3" s="410">
        <v>1402</v>
      </c>
      <c r="M3" s="410">
        <v>1403</v>
      </c>
      <c r="N3" s="410">
        <v>1404</v>
      </c>
      <c r="O3" s="32"/>
      <c r="P3" s="32"/>
      <c r="Q3" s="32"/>
      <c r="R3" s="32"/>
      <c r="S3" s="36"/>
      <c r="T3" s="37"/>
      <c r="U3" s="36"/>
    </row>
    <row r="4" spans="1:21" s="76" customFormat="1" ht="21" customHeight="1">
      <c r="A4" s="374"/>
      <c r="B4" s="374"/>
      <c r="C4" s="374"/>
      <c r="D4" s="375"/>
      <c r="E4" s="233">
        <v>1395</v>
      </c>
      <c r="F4" s="233">
        <v>1396</v>
      </c>
      <c r="G4" s="410"/>
      <c r="H4" s="410"/>
      <c r="I4" s="410"/>
      <c r="J4" s="410"/>
      <c r="K4" s="410"/>
      <c r="L4" s="410"/>
      <c r="M4" s="410"/>
      <c r="N4" s="410"/>
      <c r="O4" s="72"/>
      <c r="P4" s="72"/>
      <c r="Q4" s="73"/>
      <c r="R4" s="72"/>
      <c r="S4" s="74"/>
      <c r="T4" s="75"/>
      <c r="U4" s="74"/>
    </row>
    <row r="5" spans="1:21" s="76" customFormat="1" ht="30" customHeight="1">
      <c r="A5" s="234">
        <v>1</v>
      </c>
      <c r="B5" s="205" t="s">
        <v>14</v>
      </c>
      <c r="C5" s="206">
        <f>($A$200+$B$200)*'[14]نرخ تسهیم'!J3</f>
        <v>1377.6292720439571</v>
      </c>
      <c r="D5" s="207">
        <f>C5*1.05</f>
        <v>1446.5107356461551</v>
      </c>
      <c r="E5" s="207">
        <f t="shared" ref="E5:N5" si="0">D5*1.05</f>
        <v>1518.836272428463</v>
      </c>
      <c r="F5" s="207">
        <f t="shared" si="0"/>
        <v>1594.7780860498863</v>
      </c>
      <c r="G5" s="207">
        <f t="shared" si="0"/>
        <v>1674.5169903523806</v>
      </c>
      <c r="H5" s="207">
        <f t="shared" si="0"/>
        <v>1758.2428398699997</v>
      </c>
      <c r="I5" s="207">
        <f t="shared" si="0"/>
        <v>1846.1549818634996</v>
      </c>
      <c r="J5" s="207">
        <f t="shared" si="0"/>
        <v>1938.4627309566747</v>
      </c>
      <c r="K5" s="207">
        <f t="shared" si="0"/>
        <v>2035.3858675045085</v>
      </c>
      <c r="L5" s="207">
        <f t="shared" si="0"/>
        <v>2137.155160879734</v>
      </c>
      <c r="M5" s="207">
        <f t="shared" si="0"/>
        <v>2244.0129189237209</v>
      </c>
      <c r="N5" s="207">
        <f t="shared" si="0"/>
        <v>2356.2135648699073</v>
      </c>
      <c r="O5" s="72"/>
      <c r="P5" s="72"/>
      <c r="Q5" s="73"/>
      <c r="R5" s="73"/>
      <c r="S5" s="73"/>
      <c r="T5" s="75"/>
      <c r="U5" s="74"/>
    </row>
    <row r="6" spans="1:21" s="76" customFormat="1" ht="30" customHeight="1">
      <c r="A6" s="234">
        <v>2</v>
      </c>
      <c r="B6" s="205" t="s">
        <v>15</v>
      </c>
      <c r="C6" s="206">
        <f>($A$200+$B$200)*'[14]نرخ تسهیم'!J4</f>
        <v>6405.8785980664152</v>
      </c>
      <c r="D6" s="207">
        <f t="shared" ref="D6:N21" si="1">C6*1.05</f>
        <v>6726.1725279697366</v>
      </c>
      <c r="E6" s="207">
        <f t="shared" si="1"/>
        <v>7062.4811543682235</v>
      </c>
      <c r="F6" s="207">
        <f t="shared" si="1"/>
        <v>7415.6052120866352</v>
      </c>
      <c r="G6" s="207">
        <f t="shared" si="1"/>
        <v>7786.3854726909676</v>
      </c>
      <c r="H6" s="207">
        <f t="shared" si="1"/>
        <v>8175.7047463255167</v>
      </c>
      <c r="I6" s="207">
        <f t="shared" si="1"/>
        <v>8584.4899836417935</v>
      </c>
      <c r="J6" s="207">
        <f t="shared" si="1"/>
        <v>9013.7144828238834</v>
      </c>
      <c r="K6" s="207">
        <f t="shared" si="1"/>
        <v>9464.4002069650778</v>
      </c>
      <c r="L6" s="207">
        <f t="shared" si="1"/>
        <v>9937.6202173133315</v>
      </c>
      <c r="M6" s="207">
        <f t="shared" si="1"/>
        <v>10434.501228178999</v>
      </c>
      <c r="N6" s="207">
        <f t="shared" si="1"/>
        <v>10956.226289587948</v>
      </c>
      <c r="O6" s="72"/>
      <c r="P6" s="72"/>
      <c r="Q6" s="73"/>
      <c r="R6" s="73"/>
      <c r="S6" s="73"/>
      <c r="T6" s="75"/>
      <c r="U6" s="74"/>
    </row>
    <row r="7" spans="1:21" s="76" customFormat="1" ht="30" customHeight="1">
      <c r="A7" s="234">
        <v>3</v>
      </c>
      <c r="B7" s="205" t="s">
        <v>16</v>
      </c>
      <c r="C7" s="206">
        <f>($A$200+$B$200)*'[14]نرخ تسهیم'!J5</f>
        <v>3571.1527739992966</v>
      </c>
      <c r="D7" s="207">
        <f t="shared" si="1"/>
        <v>3749.7104126992617</v>
      </c>
      <c r="E7" s="207">
        <f t="shared" si="1"/>
        <v>3937.1959333342252</v>
      </c>
      <c r="F7" s="207">
        <f t="shared" si="1"/>
        <v>4134.0557300009368</v>
      </c>
      <c r="G7" s="207">
        <f t="shared" si="1"/>
        <v>4340.7585165009841</v>
      </c>
      <c r="H7" s="207">
        <f t="shared" si="1"/>
        <v>4557.7964423260337</v>
      </c>
      <c r="I7" s="207">
        <f t="shared" si="1"/>
        <v>4785.6862644423354</v>
      </c>
      <c r="J7" s="207">
        <f t="shared" si="1"/>
        <v>5024.9705776644523</v>
      </c>
      <c r="K7" s="207">
        <f t="shared" si="1"/>
        <v>5276.2191065476754</v>
      </c>
      <c r="L7" s="207">
        <f t="shared" si="1"/>
        <v>5540.0300618750598</v>
      </c>
      <c r="M7" s="207">
        <f t="shared" si="1"/>
        <v>5817.0315649688127</v>
      </c>
      <c r="N7" s="207">
        <f t="shared" si="1"/>
        <v>6107.8831432172537</v>
      </c>
      <c r="O7" s="72"/>
      <c r="P7" s="72"/>
      <c r="Q7" s="73"/>
      <c r="R7" s="73"/>
      <c r="S7" s="73"/>
      <c r="T7" s="75"/>
      <c r="U7" s="74"/>
    </row>
    <row r="8" spans="1:21" s="76" customFormat="1" ht="30" customHeight="1">
      <c r="A8" s="234">
        <v>4</v>
      </c>
      <c r="B8" s="205" t="s">
        <v>17</v>
      </c>
      <c r="C8" s="206">
        <f>($A$200+$B$200)*'[14]نرخ تسهیم'!J6</f>
        <v>13291.481358227476</v>
      </c>
      <c r="D8" s="207">
        <f t="shared" si="1"/>
        <v>13956.055426138852</v>
      </c>
      <c r="E8" s="207">
        <f t="shared" si="1"/>
        <v>14653.858197445794</v>
      </c>
      <c r="F8" s="207">
        <f t="shared" si="1"/>
        <v>15386.551107318084</v>
      </c>
      <c r="G8" s="207">
        <f t="shared" si="1"/>
        <v>16155.878662683988</v>
      </c>
      <c r="H8" s="207">
        <f t="shared" si="1"/>
        <v>16963.672595818189</v>
      </c>
      <c r="I8" s="207">
        <f t="shared" si="1"/>
        <v>17811.856225609099</v>
      </c>
      <c r="J8" s="207">
        <f t="shared" si="1"/>
        <v>18702.449036889553</v>
      </c>
      <c r="K8" s="207">
        <f t="shared" si="1"/>
        <v>19637.571488734033</v>
      </c>
      <c r="L8" s="207">
        <f t="shared" si="1"/>
        <v>20619.450063170734</v>
      </c>
      <c r="M8" s="207">
        <f t="shared" si="1"/>
        <v>21650.422566329271</v>
      </c>
      <c r="N8" s="207">
        <f t="shared" si="1"/>
        <v>22732.943694645735</v>
      </c>
      <c r="O8" s="72"/>
      <c r="P8" s="72"/>
      <c r="Q8" s="73"/>
      <c r="R8" s="73"/>
      <c r="S8" s="73"/>
      <c r="T8" s="75"/>
      <c r="U8" s="74"/>
    </row>
    <row r="9" spans="1:21" s="76" customFormat="1" ht="30" customHeight="1">
      <c r="A9" s="234">
        <v>5</v>
      </c>
      <c r="B9" s="205" t="s">
        <v>18</v>
      </c>
      <c r="C9" s="206">
        <f>($A$200+$B$200)*'[14]نرخ تسهیم'!J7</f>
        <v>2174.6202832107124</v>
      </c>
      <c r="D9" s="207">
        <f t="shared" si="1"/>
        <v>2283.3512973712482</v>
      </c>
      <c r="E9" s="207">
        <f t="shared" si="1"/>
        <v>2397.5188622398105</v>
      </c>
      <c r="F9" s="207">
        <f t="shared" si="1"/>
        <v>2517.3948053518011</v>
      </c>
      <c r="G9" s="207">
        <f t="shared" si="1"/>
        <v>2643.2645456193914</v>
      </c>
      <c r="H9" s="207">
        <f t="shared" si="1"/>
        <v>2775.4277729003611</v>
      </c>
      <c r="I9" s="207">
        <f t="shared" si="1"/>
        <v>2914.1991615453794</v>
      </c>
      <c r="J9" s="207">
        <f t="shared" si="1"/>
        <v>3059.9091196226486</v>
      </c>
      <c r="K9" s="207">
        <f t="shared" si="1"/>
        <v>3212.9045756037813</v>
      </c>
      <c r="L9" s="207">
        <f t="shared" si="1"/>
        <v>3373.5498043839707</v>
      </c>
      <c r="M9" s="207">
        <f t="shared" si="1"/>
        <v>3542.2272946031694</v>
      </c>
      <c r="N9" s="207">
        <f t="shared" si="1"/>
        <v>3719.338659333328</v>
      </c>
      <c r="O9" s="72"/>
      <c r="P9" s="72"/>
      <c r="Q9" s="73"/>
      <c r="R9" s="73"/>
      <c r="S9" s="73"/>
      <c r="T9" s="75"/>
      <c r="U9" s="74"/>
    </row>
    <row r="10" spans="1:21" s="76" customFormat="1" ht="30" customHeight="1">
      <c r="A10" s="234">
        <v>6</v>
      </c>
      <c r="B10" s="205" t="s">
        <v>19</v>
      </c>
      <c r="C10" s="206">
        <f>($A$200+$B$200)*'[14]نرخ تسهیم'!J8</f>
        <v>1362.9520796009665</v>
      </c>
      <c r="D10" s="207">
        <f t="shared" si="1"/>
        <v>1431.0996835810149</v>
      </c>
      <c r="E10" s="207">
        <f t="shared" si="1"/>
        <v>1502.6546677600656</v>
      </c>
      <c r="F10" s="207">
        <f t="shared" si="1"/>
        <v>1577.787401148069</v>
      </c>
      <c r="G10" s="207">
        <f t="shared" si="1"/>
        <v>1656.6767712054725</v>
      </c>
      <c r="H10" s="207">
        <f t="shared" si="1"/>
        <v>1739.5106097657463</v>
      </c>
      <c r="I10" s="207">
        <f t="shared" si="1"/>
        <v>1826.4861402540337</v>
      </c>
      <c r="J10" s="207">
        <f t="shared" si="1"/>
        <v>1917.8104472667355</v>
      </c>
      <c r="K10" s="207">
        <f t="shared" si="1"/>
        <v>2013.7009696300724</v>
      </c>
      <c r="L10" s="207">
        <f t="shared" si="1"/>
        <v>2114.386018111576</v>
      </c>
      <c r="M10" s="207">
        <f t="shared" si="1"/>
        <v>2220.1053190171551</v>
      </c>
      <c r="N10" s="207">
        <f t="shared" si="1"/>
        <v>2331.110584968013</v>
      </c>
      <c r="O10" s="72"/>
      <c r="P10" s="72"/>
      <c r="Q10" s="73"/>
      <c r="R10" s="73"/>
      <c r="S10" s="73"/>
      <c r="T10" s="75"/>
      <c r="U10" s="74"/>
    </row>
    <row r="11" spans="1:21" s="76" customFormat="1" ht="30" customHeight="1">
      <c r="A11" s="234">
        <v>7</v>
      </c>
      <c r="B11" s="205" t="s">
        <v>20</v>
      </c>
      <c r="C11" s="206">
        <f>($A$200+$B$200)*'[14]نرخ تسهیم'!J9</f>
        <v>2508.3566255651549</v>
      </c>
      <c r="D11" s="207">
        <f t="shared" si="1"/>
        <v>2633.7744568434127</v>
      </c>
      <c r="E11" s="207">
        <f t="shared" si="1"/>
        <v>2765.4631796855833</v>
      </c>
      <c r="F11" s="207">
        <f t="shared" si="1"/>
        <v>2903.7363386698626</v>
      </c>
      <c r="G11" s="207">
        <f t="shared" si="1"/>
        <v>3048.923155603356</v>
      </c>
      <c r="H11" s="207">
        <f t="shared" si="1"/>
        <v>3201.3693133835241</v>
      </c>
      <c r="I11" s="207">
        <f t="shared" si="1"/>
        <v>3361.4377790527005</v>
      </c>
      <c r="J11" s="207">
        <f t="shared" si="1"/>
        <v>3529.5096680053357</v>
      </c>
      <c r="K11" s="207">
        <f t="shared" si="1"/>
        <v>3705.9851514056027</v>
      </c>
      <c r="L11" s="207">
        <f t="shared" si="1"/>
        <v>3891.2844089758828</v>
      </c>
      <c r="M11" s="207">
        <f t="shared" si="1"/>
        <v>4085.8486294246773</v>
      </c>
      <c r="N11" s="207">
        <f t="shared" si="1"/>
        <v>4290.1410608959113</v>
      </c>
      <c r="O11" s="72"/>
      <c r="P11" s="72"/>
      <c r="Q11" s="73"/>
      <c r="R11" s="73"/>
      <c r="S11" s="73"/>
      <c r="T11" s="75"/>
      <c r="U11" s="74"/>
    </row>
    <row r="12" spans="1:21" s="76" customFormat="1" ht="30" customHeight="1">
      <c r="A12" s="234">
        <v>8</v>
      </c>
      <c r="B12" s="205" t="s">
        <v>21</v>
      </c>
      <c r="C12" s="206">
        <f>($A$200+$B$200)*'[14]نرخ تسهیم'!J10</f>
        <v>4384.3963029068391</v>
      </c>
      <c r="D12" s="207">
        <f t="shared" si="1"/>
        <v>4603.6161180521813</v>
      </c>
      <c r="E12" s="207">
        <f t="shared" si="1"/>
        <v>4833.7969239547901</v>
      </c>
      <c r="F12" s="207">
        <f t="shared" si="1"/>
        <v>5075.48677015253</v>
      </c>
      <c r="G12" s="207">
        <f t="shared" si="1"/>
        <v>5329.2611086601564</v>
      </c>
      <c r="H12" s="207">
        <f t="shared" si="1"/>
        <v>5595.7241640931643</v>
      </c>
      <c r="I12" s="207">
        <f t="shared" si="1"/>
        <v>5875.5103722978229</v>
      </c>
      <c r="J12" s="207">
        <f t="shared" si="1"/>
        <v>6169.2858909127144</v>
      </c>
      <c r="K12" s="207">
        <f t="shared" si="1"/>
        <v>6477.7501854583506</v>
      </c>
      <c r="L12" s="207">
        <f t="shared" si="1"/>
        <v>6801.6376947312683</v>
      </c>
      <c r="M12" s="207">
        <f t="shared" si="1"/>
        <v>7141.7195794678319</v>
      </c>
      <c r="N12" s="207">
        <f t="shared" si="1"/>
        <v>7498.8055584412241</v>
      </c>
      <c r="O12" s="72"/>
      <c r="P12" s="72"/>
      <c r="Q12" s="73"/>
      <c r="R12" s="73"/>
      <c r="S12" s="73"/>
      <c r="T12" s="75"/>
      <c r="U12" s="74"/>
    </row>
    <row r="13" spans="1:21" s="76" customFormat="1" ht="30" customHeight="1">
      <c r="A13" s="234">
        <v>9</v>
      </c>
      <c r="B13" s="205" t="s">
        <v>22</v>
      </c>
      <c r="C13" s="206">
        <f>($A$200+$B$200)*'[14]نرخ تسهیم'!J11</f>
        <v>84.211948504559388</v>
      </c>
      <c r="D13" s="207">
        <f t="shared" si="1"/>
        <v>88.422545929787361</v>
      </c>
      <c r="E13" s="207">
        <f t="shared" si="1"/>
        <v>92.843673226276735</v>
      </c>
      <c r="F13" s="207">
        <f t="shared" si="1"/>
        <v>97.485856887590572</v>
      </c>
      <c r="G13" s="207">
        <f t="shared" si="1"/>
        <v>102.36014973197011</v>
      </c>
      <c r="H13" s="207">
        <f t="shared" si="1"/>
        <v>107.47815721856863</v>
      </c>
      <c r="I13" s="207">
        <f t="shared" si="1"/>
        <v>112.85206507949707</v>
      </c>
      <c r="J13" s="207">
        <f t="shared" si="1"/>
        <v>118.49466833347192</v>
      </c>
      <c r="K13" s="207">
        <f t="shared" si="1"/>
        <v>124.41940175014552</v>
      </c>
      <c r="L13" s="207">
        <f t="shared" si="1"/>
        <v>130.64037183765279</v>
      </c>
      <c r="M13" s="207">
        <f t="shared" si="1"/>
        <v>137.17239042953543</v>
      </c>
      <c r="N13" s="207">
        <f t="shared" si="1"/>
        <v>144.03100995101221</v>
      </c>
      <c r="O13" s="72"/>
      <c r="P13" s="72"/>
      <c r="Q13" s="73"/>
      <c r="R13" s="73"/>
      <c r="S13" s="73"/>
      <c r="T13" s="75"/>
      <c r="U13" s="74"/>
    </row>
    <row r="14" spans="1:21" s="76" customFormat="1" ht="30" customHeight="1">
      <c r="A14" s="234">
        <v>10</v>
      </c>
      <c r="B14" s="205" t="s">
        <v>23</v>
      </c>
      <c r="C14" s="206">
        <f>($A$200+$B$200)*'[14]نرخ تسهیم'!J12</f>
        <v>2295.6268791139432</v>
      </c>
      <c r="D14" s="207">
        <f t="shared" si="1"/>
        <v>2410.4082230696404</v>
      </c>
      <c r="E14" s="207">
        <f t="shared" si="1"/>
        <v>2530.9286342231226</v>
      </c>
      <c r="F14" s="207">
        <f t="shared" si="1"/>
        <v>2657.475065934279</v>
      </c>
      <c r="G14" s="207">
        <f t="shared" si="1"/>
        <v>2790.3488192309928</v>
      </c>
      <c r="H14" s="207">
        <f t="shared" si="1"/>
        <v>2929.8662601925425</v>
      </c>
      <c r="I14" s="207">
        <f t="shared" si="1"/>
        <v>3076.3595732021699</v>
      </c>
      <c r="J14" s="207">
        <f t="shared" si="1"/>
        <v>3230.1775518622785</v>
      </c>
      <c r="K14" s="207">
        <f t="shared" si="1"/>
        <v>3391.6864294553925</v>
      </c>
      <c r="L14" s="207">
        <f t="shared" si="1"/>
        <v>3561.2707509281622</v>
      </c>
      <c r="M14" s="207">
        <f t="shared" si="1"/>
        <v>3739.3342884745703</v>
      </c>
      <c r="N14" s="207">
        <f t="shared" si="1"/>
        <v>3926.301002898299</v>
      </c>
      <c r="O14" s="72"/>
      <c r="P14" s="72"/>
      <c r="Q14" s="73"/>
      <c r="R14" s="73"/>
      <c r="S14" s="73"/>
      <c r="T14" s="75"/>
      <c r="U14" s="74"/>
    </row>
    <row r="15" spans="1:21" s="76" customFormat="1" ht="30" customHeight="1">
      <c r="A15" s="234">
        <v>11</v>
      </c>
      <c r="B15" s="205" t="s">
        <v>24</v>
      </c>
      <c r="C15" s="206">
        <f>($A$200+$B$200)*'[14]نرخ تسهیم'!J13</f>
        <v>2450.5513643612821</v>
      </c>
      <c r="D15" s="207">
        <f t="shared" si="1"/>
        <v>2573.0789325793462</v>
      </c>
      <c r="E15" s="207">
        <f t="shared" si="1"/>
        <v>2701.7328792083135</v>
      </c>
      <c r="F15" s="207">
        <f t="shared" si="1"/>
        <v>2836.8195231687291</v>
      </c>
      <c r="G15" s="207">
        <f t="shared" si="1"/>
        <v>2978.6604993271658</v>
      </c>
      <c r="H15" s="207">
        <f t="shared" si="1"/>
        <v>3127.5935242935243</v>
      </c>
      <c r="I15" s="207">
        <f t="shared" si="1"/>
        <v>3283.9732005082005</v>
      </c>
      <c r="J15" s="207">
        <f t="shared" si="1"/>
        <v>3448.1718605336109</v>
      </c>
      <c r="K15" s="207">
        <f t="shared" si="1"/>
        <v>3620.5804535602915</v>
      </c>
      <c r="L15" s="207">
        <f t="shared" si="1"/>
        <v>3801.6094762383063</v>
      </c>
      <c r="M15" s="207">
        <f t="shared" si="1"/>
        <v>3991.6899500502218</v>
      </c>
      <c r="N15" s="207">
        <f t="shared" si="1"/>
        <v>4191.2744475527334</v>
      </c>
      <c r="O15" s="72"/>
      <c r="P15" s="72"/>
      <c r="Q15" s="73"/>
      <c r="R15" s="73"/>
      <c r="S15" s="73"/>
      <c r="T15" s="75"/>
      <c r="U15" s="74"/>
    </row>
    <row r="16" spans="1:21" s="76" customFormat="1" ht="30" customHeight="1">
      <c r="A16" s="234">
        <v>12</v>
      </c>
      <c r="B16" s="205" t="s">
        <v>25</v>
      </c>
      <c r="C16" s="206">
        <f>($A$200+$B$200)*'[14]نرخ تسهیم'!J14</f>
        <v>7109.2083523063129</v>
      </c>
      <c r="D16" s="207">
        <f t="shared" si="1"/>
        <v>7464.6687699216291</v>
      </c>
      <c r="E16" s="207">
        <f t="shared" si="1"/>
        <v>7837.9022084177104</v>
      </c>
      <c r="F16" s="207">
        <f t="shared" si="1"/>
        <v>8229.7973188385968</v>
      </c>
      <c r="G16" s="207">
        <f t="shared" si="1"/>
        <v>8641.2871847805272</v>
      </c>
      <c r="H16" s="207">
        <f t="shared" si="1"/>
        <v>9073.3515440195533</v>
      </c>
      <c r="I16" s="207">
        <f t="shared" si="1"/>
        <v>9527.0191212205318</v>
      </c>
      <c r="J16" s="207">
        <f t="shared" si="1"/>
        <v>10003.370077281559</v>
      </c>
      <c r="K16" s="207">
        <f t="shared" si="1"/>
        <v>10503.538581145638</v>
      </c>
      <c r="L16" s="207">
        <f t="shared" si="1"/>
        <v>11028.715510202921</v>
      </c>
      <c r="M16" s="207">
        <f t="shared" si="1"/>
        <v>11580.151285713067</v>
      </c>
      <c r="N16" s="207">
        <f t="shared" si="1"/>
        <v>12159.158849998721</v>
      </c>
      <c r="O16" s="72"/>
      <c r="P16" s="72"/>
      <c r="Q16" s="73"/>
      <c r="R16" s="73"/>
      <c r="S16" s="73"/>
      <c r="T16" s="75"/>
      <c r="U16" s="74"/>
    </row>
    <row r="17" spans="1:21" s="76" customFormat="1" ht="30" customHeight="1">
      <c r="A17" s="234">
        <v>13</v>
      </c>
      <c r="B17" s="205" t="s">
        <v>26</v>
      </c>
      <c r="C17" s="206">
        <f>($A$200+$B$200)*'[14]نرخ تسهیم'!J15</f>
        <v>734.7187391267355</v>
      </c>
      <c r="D17" s="207">
        <f t="shared" si="1"/>
        <v>771.45467608307229</v>
      </c>
      <c r="E17" s="207">
        <f t="shared" si="1"/>
        <v>810.02740988722599</v>
      </c>
      <c r="F17" s="207">
        <f t="shared" si="1"/>
        <v>850.52878038158735</v>
      </c>
      <c r="G17" s="207">
        <f t="shared" si="1"/>
        <v>893.05521940066672</v>
      </c>
      <c r="H17" s="207">
        <f t="shared" si="1"/>
        <v>937.70798037070006</v>
      </c>
      <c r="I17" s="207">
        <f t="shared" si="1"/>
        <v>984.59337938923511</v>
      </c>
      <c r="J17" s="207">
        <f t="shared" si="1"/>
        <v>1033.823048358697</v>
      </c>
      <c r="K17" s="207">
        <f t="shared" si="1"/>
        <v>1085.5142007766319</v>
      </c>
      <c r="L17" s="207">
        <f t="shared" si="1"/>
        <v>1139.7899108154636</v>
      </c>
      <c r="M17" s="207">
        <f t="shared" si="1"/>
        <v>1196.7794063562369</v>
      </c>
      <c r="N17" s="207">
        <f t="shared" si="1"/>
        <v>1256.6183766740487</v>
      </c>
      <c r="O17" s="72"/>
      <c r="P17" s="72"/>
      <c r="Q17" s="73"/>
      <c r="R17" s="73"/>
      <c r="S17" s="73"/>
      <c r="T17" s="75"/>
      <c r="U17" s="74"/>
    </row>
    <row r="18" spans="1:21" s="76" customFormat="1" ht="30" customHeight="1">
      <c r="A18" s="234">
        <v>14</v>
      </c>
      <c r="B18" s="205" t="s">
        <v>27</v>
      </c>
      <c r="C18" s="206">
        <f>($A$200+$B$200)*'[14]نرخ تسهیم'!J16</f>
        <v>17125.184267146589</v>
      </c>
      <c r="D18" s="207">
        <f t="shared" si="1"/>
        <v>17981.44348050392</v>
      </c>
      <c r="E18" s="207">
        <f t="shared" si="1"/>
        <v>18880.515654529117</v>
      </c>
      <c r="F18" s="207">
        <f t="shared" si="1"/>
        <v>19824.541437255575</v>
      </c>
      <c r="G18" s="207">
        <f t="shared" si="1"/>
        <v>20815.768509118356</v>
      </c>
      <c r="H18" s="207">
        <f t="shared" si="1"/>
        <v>21856.556934574273</v>
      </c>
      <c r="I18" s="207">
        <f t="shared" si="1"/>
        <v>22949.38478130299</v>
      </c>
      <c r="J18" s="207">
        <f t="shared" si="1"/>
        <v>24096.85402036814</v>
      </c>
      <c r="K18" s="207">
        <f t="shared" si="1"/>
        <v>25301.69672138655</v>
      </c>
      <c r="L18" s="207">
        <f t="shared" si="1"/>
        <v>26566.781557455877</v>
      </c>
      <c r="M18" s="207">
        <f t="shared" si="1"/>
        <v>27895.120635328673</v>
      </c>
      <c r="N18" s="207">
        <f t="shared" si="1"/>
        <v>29289.876667095108</v>
      </c>
      <c r="O18" s="72"/>
      <c r="P18" s="72"/>
      <c r="Q18" s="73"/>
      <c r="R18" s="73"/>
      <c r="S18" s="73"/>
      <c r="T18" s="75"/>
      <c r="U18" s="74"/>
    </row>
    <row r="19" spans="1:21" s="76" customFormat="1" ht="30" customHeight="1">
      <c r="A19" s="234">
        <v>15</v>
      </c>
      <c r="B19" s="205" t="s">
        <v>28</v>
      </c>
      <c r="C19" s="206">
        <f>($A$200+$B$200)*'[14]نرخ تسهیم'!J17</f>
        <v>2560.2459382636439</v>
      </c>
      <c r="D19" s="207">
        <f t="shared" si="1"/>
        <v>2688.258235176826</v>
      </c>
      <c r="E19" s="207">
        <f t="shared" si="1"/>
        <v>2822.6711469356674</v>
      </c>
      <c r="F19" s="207">
        <f t="shared" si="1"/>
        <v>2963.804704282451</v>
      </c>
      <c r="G19" s="207">
        <f t="shared" si="1"/>
        <v>3111.9949394965738</v>
      </c>
      <c r="H19" s="207">
        <f t="shared" si="1"/>
        <v>3267.5946864714028</v>
      </c>
      <c r="I19" s="207">
        <f t="shared" si="1"/>
        <v>3430.974420794973</v>
      </c>
      <c r="J19" s="207">
        <f t="shared" si="1"/>
        <v>3602.5231418347216</v>
      </c>
      <c r="K19" s="207">
        <f t="shared" si="1"/>
        <v>3782.649298926458</v>
      </c>
      <c r="L19" s="207">
        <f t="shared" si="1"/>
        <v>3971.7817638727811</v>
      </c>
      <c r="M19" s="207">
        <f t="shared" si="1"/>
        <v>4170.3708520664204</v>
      </c>
      <c r="N19" s="207">
        <f t="shared" si="1"/>
        <v>4378.8893946697417</v>
      </c>
      <c r="O19" s="72"/>
      <c r="P19" s="72"/>
      <c r="Q19" s="73"/>
      <c r="R19" s="73"/>
      <c r="S19" s="73"/>
      <c r="T19" s="75"/>
      <c r="U19" s="74"/>
    </row>
    <row r="20" spans="1:21" s="76" customFormat="1" ht="30" customHeight="1">
      <c r="A20" s="234">
        <v>16</v>
      </c>
      <c r="B20" s="205" t="s">
        <v>29</v>
      </c>
      <c r="C20" s="206">
        <f>($A$200+$B$200)*'[14]نرخ تسهیم'!J18</f>
        <v>16683.756403605374</v>
      </c>
      <c r="D20" s="207">
        <f t="shared" si="1"/>
        <v>17517.944223785642</v>
      </c>
      <c r="E20" s="207">
        <f t="shared" si="1"/>
        <v>18393.841434974926</v>
      </c>
      <c r="F20" s="207">
        <f t="shared" si="1"/>
        <v>19313.533506723674</v>
      </c>
      <c r="G20" s="207">
        <f t="shared" si="1"/>
        <v>20279.210182059858</v>
      </c>
      <c r="H20" s="207">
        <f t="shared" si="1"/>
        <v>21293.170691162853</v>
      </c>
      <c r="I20" s="207">
        <f t="shared" si="1"/>
        <v>22357.829225720998</v>
      </c>
      <c r="J20" s="207">
        <f t="shared" si="1"/>
        <v>23475.720687007048</v>
      </c>
      <c r="K20" s="207">
        <f t="shared" si="1"/>
        <v>24649.5067213574</v>
      </c>
      <c r="L20" s="207">
        <f t="shared" si="1"/>
        <v>25881.98205742527</v>
      </c>
      <c r="M20" s="207">
        <f t="shared" si="1"/>
        <v>27176.081160296533</v>
      </c>
      <c r="N20" s="207">
        <f t="shared" si="1"/>
        <v>28534.885218311359</v>
      </c>
      <c r="O20" s="72"/>
      <c r="P20" s="72"/>
      <c r="Q20" s="73"/>
      <c r="R20" s="73"/>
      <c r="S20" s="73"/>
      <c r="T20" s="75"/>
      <c r="U20" s="74"/>
    </row>
    <row r="21" spans="1:21" s="76" customFormat="1" ht="30" customHeight="1">
      <c r="A21" s="234">
        <v>17</v>
      </c>
      <c r="B21" s="205" t="s">
        <v>30</v>
      </c>
      <c r="C21" s="206">
        <f>($A$200+$B$200)*'[14]نرخ تسهیم'!J19</f>
        <v>650.20167486672483</v>
      </c>
      <c r="D21" s="207">
        <f t="shared" si="1"/>
        <v>682.71175861006111</v>
      </c>
      <c r="E21" s="207">
        <f t="shared" si="1"/>
        <v>716.84734654056422</v>
      </c>
      <c r="F21" s="207">
        <f t="shared" si="1"/>
        <v>752.68971386759245</v>
      </c>
      <c r="G21" s="207">
        <f t="shared" si="1"/>
        <v>790.32419956097215</v>
      </c>
      <c r="H21" s="207">
        <f t="shared" si="1"/>
        <v>829.84040953902081</v>
      </c>
      <c r="I21" s="207">
        <f t="shared" si="1"/>
        <v>871.33243001597191</v>
      </c>
      <c r="J21" s="207">
        <f t="shared" si="1"/>
        <v>914.89905151677056</v>
      </c>
      <c r="K21" s="207">
        <f t="shared" si="1"/>
        <v>960.64400409260918</v>
      </c>
      <c r="L21" s="207">
        <f t="shared" si="1"/>
        <v>1008.6762042972397</v>
      </c>
      <c r="M21" s="207">
        <f t="shared" si="1"/>
        <v>1059.1100145121018</v>
      </c>
      <c r="N21" s="207">
        <f t="shared" si="1"/>
        <v>1112.0655152377069</v>
      </c>
      <c r="O21" s="72"/>
      <c r="P21" s="72"/>
      <c r="Q21" s="73"/>
      <c r="R21" s="73"/>
      <c r="S21" s="73"/>
      <c r="T21" s="75"/>
      <c r="U21" s="74"/>
    </row>
    <row r="22" spans="1:21" s="76" customFormat="1" ht="30" customHeight="1">
      <c r="A22" s="234">
        <v>18</v>
      </c>
      <c r="B22" s="205" t="s">
        <v>31</v>
      </c>
      <c r="C22" s="206">
        <f>($A$200+$B$200)*'[14]نرخ تسهیم'!J20</f>
        <v>5836.2312021631033</v>
      </c>
      <c r="D22" s="207">
        <f t="shared" ref="D22:N36" si="2">C22*1.05</f>
        <v>6128.0427622712587</v>
      </c>
      <c r="E22" s="207">
        <f t="shared" si="2"/>
        <v>6434.4449003848222</v>
      </c>
      <c r="F22" s="207">
        <f t="shared" si="2"/>
        <v>6756.1671454040634</v>
      </c>
      <c r="G22" s="207">
        <f t="shared" si="2"/>
        <v>7093.9755026742669</v>
      </c>
      <c r="H22" s="207">
        <f t="shared" si="2"/>
        <v>7448.6742778079806</v>
      </c>
      <c r="I22" s="207">
        <f t="shared" si="2"/>
        <v>7821.1079916983799</v>
      </c>
      <c r="J22" s="207">
        <f t="shared" si="2"/>
        <v>8212.1633912832986</v>
      </c>
      <c r="K22" s="207">
        <f t="shared" si="2"/>
        <v>8622.7715608474646</v>
      </c>
      <c r="L22" s="207">
        <f t="shared" si="2"/>
        <v>9053.910138889838</v>
      </c>
      <c r="M22" s="207">
        <f t="shared" si="2"/>
        <v>9506.6056458343301</v>
      </c>
      <c r="N22" s="207">
        <f t="shared" si="2"/>
        <v>9981.9359281260477</v>
      </c>
      <c r="O22" s="72"/>
      <c r="P22" s="72"/>
      <c r="Q22" s="73"/>
      <c r="R22" s="73"/>
      <c r="S22" s="73"/>
      <c r="T22" s="75"/>
      <c r="U22" s="74"/>
    </row>
    <row r="23" spans="1:21" s="76" customFormat="1" ht="30" customHeight="1">
      <c r="A23" s="234">
        <v>19</v>
      </c>
      <c r="B23" s="205" t="s">
        <v>32</v>
      </c>
      <c r="C23" s="206">
        <f>($A$200+$B$200)*'[14]نرخ تسهیم'!J21</f>
        <v>8785.0106553984788</v>
      </c>
      <c r="D23" s="207">
        <f t="shared" si="2"/>
        <v>9224.2611881684024</v>
      </c>
      <c r="E23" s="207">
        <f t="shared" si="2"/>
        <v>9685.4742475768235</v>
      </c>
      <c r="F23" s="207">
        <f t="shared" si="2"/>
        <v>10169.747959955665</v>
      </c>
      <c r="G23" s="207">
        <f t="shared" si="2"/>
        <v>10678.235357953448</v>
      </c>
      <c r="H23" s="207">
        <f t="shared" si="2"/>
        <v>11212.147125851121</v>
      </c>
      <c r="I23" s="207">
        <f t="shared" si="2"/>
        <v>11772.754482143677</v>
      </c>
      <c r="J23" s="207">
        <f t="shared" si="2"/>
        <v>12361.392206250861</v>
      </c>
      <c r="K23" s="207">
        <f t="shared" si="2"/>
        <v>12979.461816563404</v>
      </c>
      <c r="L23" s="207">
        <f t="shared" si="2"/>
        <v>13628.434907391575</v>
      </c>
      <c r="M23" s="207">
        <f t="shared" si="2"/>
        <v>14309.856652761155</v>
      </c>
      <c r="N23" s="207">
        <f t="shared" si="2"/>
        <v>15025.349485399212</v>
      </c>
      <c r="O23" s="72"/>
      <c r="P23" s="72"/>
      <c r="Q23" s="73"/>
      <c r="R23" s="73"/>
      <c r="S23" s="73"/>
      <c r="T23" s="75"/>
      <c r="U23" s="74"/>
    </row>
    <row r="24" spans="1:21" s="76" customFormat="1" ht="30" customHeight="1">
      <c r="A24" s="234">
        <v>20</v>
      </c>
      <c r="B24" s="205" t="s">
        <v>33</v>
      </c>
      <c r="C24" s="206">
        <f>($A$200+$B$200)*'[14]نرخ تسهیم'!J22</f>
        <v>11021.714607533439</v>
      </c>
      <c r="D24" s="207">
        <f t="shared" si="2"/>
        <v>11572.80033791011</v>
      </c>
      <c r="E24" s="207">
        <f t="shared" si="2"/>
        <v>12151.440354805616</v>
      </c>
      <c r="F24" s="207">
        <f t="shared" si="2"/>
        <v>12759.012372545898</v>
      </c>
      <c r="G24" s="207">
        <f t="shared" si="2"/>
        <v>13396.962991173194</v>
      </c>
      <c r="H24" s="207">
        <f t="shared" si="2"/>
        <v>14066.811140731854</v>
      </c>
      <c r="I24" s="207">
        <f t="shared" si="2"/>
        <v>14770.151697768448</v>
      </c>
      <c r="J24" s="207">
        <f t="shared" si="2"/>
        <v>15508.65928265687</v>
      </c>
      <c r="K24" s="207">
        <f t="shared" si="2"/>
        <v>16284.092246789714</v>
      </c>
      <c r="L24" s="207">
        <f t="shared" si="2"/>
        <v>17098.296859129201</v>
      </c>
      <c r="M24" s="207">
        <f t="shared" si="2"/>
        <v>17953.21170208566</v>
      </c>
      <c r="N24" s="207">
        <f t="shared" si="2"/>
        <v>18850.872287189944</v>
      </c>
      <c r="O24" s="72"/>
      <c r="P24" s="72"/>
      <c r="Q24" s="73"/>
      <c r="R24" s="73"/>
      <c r="S24" s="73"/>
      <c r="T24" s="75"/>
      <c r="U24" s="74"/>
    </row>
    <row r="25" spans="1:21" s="76" customFormat="1" ht="30" customHeight="1">
      <c r="A25" s="234">
        <v>21</v>
      </c>
      <c r="B25" s="205" t="s">
        <v>34</v>
      </c>
      <c r="C25" s="206">
        <f>($A$200+$B$200)*'[14]نرخ تسهیم'!J23</f>
        <v>4119.4538196453132</v>
      </c>
      <c r="D25" s="207">
        <f t="shared" si="2"/>
        <v>4325.4265106275789</v>
      </c>
      <c r="E25" s="207">
        <f t="shared" si="2"/>
        <v>4541.6978361589581</v>
      </c>
      <c r="F25" s="207">
        <f t="shared" si="2"/>
        <v>4768.7827279669064</v>
      </c>
      <c r="G25" s="207">
        <f t="shared" si="2"/>
        <v>5007.2218643652523</v>
      </c>
      <c r="H25" s="207">
        <f t="shared" si="2"/>
        <v>5257.5829575835151</v>
      </c>
      <c r="I25" s="207">
        <f t="shared" si="2"/>
        <v>5520.4621054626914</v>
      </c>
      <c r="J25" s="207">
        <f t="shared" si="2"/>
        <v>5796.4852107358265</v>
      </c>
      <c r="K25" s="207">
        <f t="shared" si="2"/>
        <v>6086.3094712726179</v>
      </c>
      <c r="L25" s="207">
        <f t="shared" si="2"/>
        <v>6390.6249448362487</v>
      </c>
      <c r="M25" s="207">
        <f t="shared" si="2"/>
        <v>6710.1561920780614</v>
      </c>
      <c r="N25" s="207">
        <f t="shared" si="2"/>
        <v>7045.6640016819647</v>
      </c>
      <c r="O25" s="72"/>
      <c r="P25" s="72"/>
      <c r="Q25" s="73"/>
      <c r="R25" s="73"/>
      <c r="S25" s="73"/>
      <c r="T25" s="75"/>
      <c r="U25" s="74"/>
    </row>
    <row r="26" spans="1:21" s="76" customFormat="1" ht="30" customHeight="1">
      <c r="A26" s="234">
        <v>22</v>
      </c>
      <c r="B26" s="205" t="s">
        <v>35</v>
      </c>
      <c r="C26" s="206">
        <f>($A$200+$B$200)*'[14]نرخ تسهیم'!J24</f>
        <v>1343.2919268493051</v>
      </c>
      <c r="D26" s="207">
        <f t="shared" si="2"/>
        <v>1410.4565231917704</v>
      </c>
      <c r="E26" s="207">
        <f t="shared" si="2"/>
        <v>1480.9793493513589</v>
      </c>
      <c r="F26" s="207">
        <f t="shared" si="2"/>
        <v>1555.0283168189269</v>
      </c>
      <c r="G26" s="207">
        <f t="shared" si="2"/>
        <v>1632.7797326598734</v>
      </c>
      <c r="H26" s="207">
        <f t="shared" si="2"/>
        <v>1714.4187192928671</v>
      </c>
      <c r="I26" s="207">
        <f t="shared" si="2"/>
        <v>1800.1396552575104</v>
      </c>
      <c r="J26" s="207">
        <f t="shared" si="2"/>
        <v>1890.146638020386</v>
      </c>
      <c r="K26" s="207">
        <f t="shared" si="2"/>
        <v>1984.6539699214054</v>
      </c>
      <c r="L26" s="207">
        <f t="shared" si="2"/>
        <v>2083.8866684174759</v>
      </c>
      <c r="M26" s="207">
        <f t="shared" si="2"/>
        <v>2188.0810018383499</v>
      </c>
      <c r="N26" s="207">
        <f t="shared" si="2"/>
        <v>2297.4850519302677</v>
      </c>
      <c r="O26" s="72"/>
      <c r="P26" s="72"/>
      <c r="Q26" s="73"/>
      <c r="R26" s="73"/>
      <c r="S26" s="73"/>
      <c r="T26" s="75"/>
      <c r="U26" s="74"/>
    </row>
    <row r="27" spans="1:21" s="76" customFormat="1" ht="30" customHeight="1">
      <c r="A27" s="234">
        <v>23</v>
      </c>
      <c r="B27" s="205" t="s">
        <v>36</v>
      </c>
      <c r="C27" s="206">
        <f>($A$200+$B$200)*'[14]نرخ تسهیم'!J25</f>
        <v>2145.5872453729298</v>
      </c>
      <c r="D27" s="207">
        <f t="shared" si="2"/>
        <v>2252.8666076415766</v>
      </c>
      <c r="E27" s="207">
        <f t="shared" si="2"/>
        <v>2365.5099380236556</v>
      </c>
      <c r="F27" s="207">
        <f t="shared" si="2"/>
        <v>2483.7854349248387</v>
      </c>
      <c r="G27" s="207">
        <f t="shared" si="2"/>
        <v>2607.9747066710806</v>
      </c>
      <c r="H27" s="207">
        <f t="shared" si="2"/>
        <v>2738.3734420046349</v>
      </c>
      <c r="I27" s="207">
        <f t="shared" si="2"/>
        <v>2875.2921141048669</v>
      </c>
      <c r="J27" s="207">
        <f t="shared" si="2"/>
        <v>3019.0567198101103</v>
      </c>
      <c r="K27" s="207">
        <f t="shared" si="2"/>
        <v>3170.009555800616</v>
      </c>
      <c r="L27" s="207">
        <f t="shared" si="2"/>
        <v>3328.5100335906468</v>
      </c>
      <c r="M27" s="207">
        <f t="shared" si="2"/>
        <v>3494.9355352701791</v>
      </c>
      <c r="N27" s="207">
        <f t="shared" si="2"/>
        <v>3669.682312033688</v>
      </c>
      <c r="O27" s="72"/>
      <c r="P27" s="72"/>
      <c r="Q27" s="73"/>
      <c r="R27" s="73"/>
      <c r="S27" s="73"/>
      <c r="T27" s="75"/>
      <c r="U27" s="74"/>
    </row>
    <row r="28" spans="1:21" s="76" customFormat="1" ht="30" customHeight="1">
      <c r="A28" s="234">
        <v>24</v>
      </c>
      <c r="B28" s="205" t="s">
        <v>37</v>
      </c>
      <c r="C28" s="206">
        <f>($A$200+$B$200)*'[14]نرخ تسهیم'!J26</f>
        <v>662.05024576917003</v>
      </c>
      <c r="D28" s="207">
        <f t="shared" si="2"/>
        <v>695.1527580576286</v>
      </c>
      <c r="E28" s="207">
        <f t="shared" si="2"/>
        <v>729.91039596051007</v>
      </c>
      <c r="F28" s="207">
        <f t="shared" si="2"/>
        <v>766.40591575853557</v>
      </c>
      <c r="G28" s="207">
        <f t="shared" si="2"/>
        <v>804.72621154646242</v>
      </c>
      <c r="H28" s="207">
        <f t="shared" si="2"/>
        <v>844.96252212378556</v>
      </c>
      <c r="I28" s="207">
        <f t="shared" si="2"/>
        <v>887.21064822997482</v>
      </c>
      <c r="J28" s="207">
        <f t="shared" si="2"/>
        <v>931.57118064147357</v>
      </c>
      <c r="K28" s="207">
        <f t="shared" si="2"/>
        <v>978.14973967354729</v>
      </c>
      <c r="L28" s="207">
        <f t="shared" si="2"/>
        <v>1027.0572266572246</v>
      </c>
      <c r="M28" s="207">
        <f t="shared" si="2"/>
        <v>1078.4100879900859</v>
      </c>
      <c r="N28" s="207">
        <f t="shared" si="2"/>
        <v>1132.3305923895903</v>
      </c>
      <c r="O28" s="72"/>
      <c r="P28" s="72"/>
      <c r="Q28" s="73"/>
      <c r="R28" s="73"/>
      <c r="S28" s="73"/>
      <c r="T28" s="75"/>
      <c r="U28" s="74"/>
    </row>
    <row r="29" spans="1:21" s="76" customFormat="1" ht="30" customHeight="1">
      <c r="A29" s="234">
        <v>25</v>
      </c>
      <c r="B29" s="205" t="s">
        <v>38</v>
      </c>
      <c r="C29" s="206">
        <f>($A$200+$B$200)*'[14]نرخ تسهیم'!J27</f>
        <v>12587.611942783005</v>
      </c>
      <c r="D29" s="207">
        <f t="shared" si="2"/>
        <v>13216.992539922156</v>
      </c>
      <c r="E29" s="207">
        <f t="shared" si="2"/>
        <v>13877.842166918264</v>
      </c>
      <c r="F29" s="207">
        <f t="shared" si="2"/>
        <v>14571.734275264178</v>
      </c>
      <c r="G29" s="207">
        <f t="shared" si="2"/>
        <v>15300.320989027388</v>
      </c>
      <c r="H29" s="207">
        <f t="shared" si="2"/>
        <v>16065.337038478758</v>
      </c>
      <c r="I29" s="207">
        <f t="shared" si="2"/>
        <v>16868.603890402697</v>
      </c>
      <c r="J29" s="207">
        <f t="shared" si="2"/>
        <v>17712.034084922834</v>
      </c>
      <c r="K29" s="207">
        <f t="shared" si="2"/>
        <v>18597.635789168977</v>
      </c>
      <c r="L29" s="207">
        <f t="shared" si="2"/>
        <v>19527.517578627427</v>
      </c>
      <c r="M29" s="207">
        <f t="shared" si="2"/>
        <v>20503.893457558799</v>
      </c>
      <c r="N29" s="207">
        <f t="shared" si="2"/>
        <v>21529.088130436739</v>
      </c>
      <c r="O29" s="72"/>
      <c r="P29" s="72"/>
      <c r="Q29" s="73"/>
      <c r="R29" s="73"/>
      <c r="S29" s="73"/>
      <c r="T29" s="75"/>
      <c r="U29" s="74"/>
    </row>
    <row r="30" spans="1:21" s="76" customFormat="1" ht="30" customHeight="1">
      <c r="A30" s="234">
        <v>26</v>
      </c>
      <c r="B30" s="205" t="s">
        <v>39</v>
      </c>
      <c r="C30" s="206">
        <f>($A$200+$B$200)*'[14]نرخ تسهیم'!J28</f>
        <v>8990.1415736844265</v>
      </c>
      <c r="D30" s="207">
        <f t="shared" si="2"/>
        <v>9439.648652368649</v>
      </c>
      <c r="E30" s="207">
        <f t="shared" si="2"/>
        <v>9911.6310849870824</v>
      </c>
      <c r="F30" s="207">
        <f t="shared" si="2"/>
        <v>10407.212639236437</v>
      </c>
      <c r="G30" s="207">
        <f t="shared" si="2"/>
        <v>10927.57327119826</v>
      </c>
      <c r="H30" s="207">
        <f t="shared" si="2"/>
        <v>11473.951934758174</v>
      </c>
      <c r="I30" s="207">
        <f t="shared" si="2"/>
        <v>12047.649531496083</v>
      </c>
      <c r="J30" s="207">
        <f t="shared" si="2"/>
        <v>12650.032008070888</v>
      </c>
      <c r="K30" s="207">
        <f t="shared" si="2"/>
        <v>13282.533608474432</v>
      </c>
      <c r="L30" s="207">
        <f t="shared" si="2"/>
        <v>13946.660288898154</v>
      </c>
      <c r="M30" s="207">
        <f t="shared" si="2"/>
        <v>14643.993303343063</v>
      </c>
      <c r="N30" s="207">
        <f t="shared" si="2"/>
        <v>15376.192968510217</v>
      </c>
      <c r="O30" s="72"/>
      <c r="P30" s="72"/>
      <c r="Q30" s="73"/>
      <c r="R30" s="73"/>
      <c r="S30" s="73"/>
      <c r="T30" s="75"/>
      <c r="U30" s="74"/>
    </row>
    <row r="31" spans="1:21" s="76" customFormat="1" ht="30" customHeight="1">
      <c r="A31" s="234">
        <v>27</v>
      </c>
      <c r="B31" s="205" t="s">
        <v>40</v>
      </c>
      <c r="C31" s="206">
        <f>($A$200+$B$200)*'[14]نرخ تسهیم'!J29</f>
        <v>3550.0846199814491</v>
      </c>
      <c r="D31" s="207">
        <f t="shared" si="2"/>
        <v>3727.5888509805218</v>
      </c>
      <c r="E31" s="207">
        <f t="shared" si="2"/>
        <v>3913.9682935295482</v>
      </c>
      <c r="F31" s="207">
        <f t="shared" si="2"/>
        <v>4109.6667082060258</v>
      </c>
      <c r="G31" s="207">
        <f t="shared" si="2"/>
        <v>4315.1500436163269</v>
      </c>
      <c r="H31" s="207">
        <f t="shared" si="2"/>
        <v>4530.907545797143</v>
      </c>
      <c r="I31" s="207">
        <f t="shared" si="2"/>
        <v>4757.4529230870003</v>
      </c>
      <c r="J31" s="207">
        <f t="shared" si="2"/>
        <v>4995.3255692413504</v>
      </c>
      <c r="K31" s="207">
        <f t="shared" si="2"/>
        <v>5245.0918477034184</v>
      </c>
      <c r="L31" s="207">
        <f t="shared" si="2"/>
        <v>5507.3464400885896</v>
      </c>
      <c r="M31" s="207">
        <f t="shared" si="2"/>
        <v>5782.7137620930189</v>
      </c>
      <c r="N31" s="207">
        <f t="shared" si="2"/>
        <v>6071.8494501976702</v>
      </c>
      <c r="O31" s="72"/>
      <c r="P31" s="72"/>
      <c r="Q31" s="73"/>
      <c r="R31" s="73"/>
      <c r="S31" s="73"/>
      <c r="T31" s="75"/>
      <c r="U31" s="74"/>
    </row>
    <row r="32" spans="1:21" s="76" customFormat="1" ht="30" customHeight="1">
      <c r="A32" s="234">
        <v>28</v>
      </c>
      <c r="B32" s="205" t="s">
        <v>41</v>
      </c>
      <c r="C32" s="206">
        <f>($A$200+$B$200)*'[14]نرخ تسهیم'!J30</f>
        <v>14806.788054464834</v>
      </c>
      <c r="D32" s="207">
        <f t="shared" si="2"/>
        <v>15547.127457188077</v>
      </c>
      <c r="E32" s="207">
        <f t="shared" si="2"/>
        <v>16324.483830047482</v>
      </c>
      <c r="F32" s="207">
        <f t="shared" si="2"/>
        <v>17140.708021549857</v>
      </c>
      <c r="G32" s="207">
        <f t="shared" si="2"/>
        <v>17997.743422627351</v>
      </c>
      <c r="H32" s="207">
        <f t="shared" si="2"/>
        <v>18897.63059375872</v>
      </c>
      <c r="I32" s="207">
        <f t="shared" si="2"/>
        <v>19842.512123446657</v>
      </c>
      <c r="J32" s="207">
        <f t="shared" si="2"/>
        <v>20834.637729618989</v>
      </c>
      <c r="K32" s="207">
        <f t="shared" si="2"/>
        <v>21876.369616099939</v>
      </c>
      <c r="L32" s="207">
        <f t="shared" si="2"/>
        <v>22970.188096904938</v>
      </c>
      <c r="M32" s="207">
        <f t="shared" si="2"/>
        <v>24118.697501750186</v>
      </c>
      <c r="N32" s="207">
        <f t="shared" si="2"/>
        <v>25324.632376837697</v>
      </c>
      <c r="O32" s="72"/>
      <c r="P32" s="72"/>
      <c r="Q32" s="73"/>
      <c r="R32" s="73"/>
      <c r="S32" s="73"/>
      <c r="T32" s="75"/>
      <c r="U32" s="74"/>
    </row>
    <row r="33" spans="1:21" s="76" customFormat="1" ht="30" customHeight="1">
      <c r="A33" s="234">
        <v>29</v>
      </c>
      <c r="B33" s="205" t="s">
        <v>42</v>
      </c>
      <c r="C33" s="206">
        <f>($A$200+$B$200)*'[14]نرخ تسهیم'!J31</f>
        <v>6143.1489998633551</v>
      </c>
      <c r="D33" s="207">
        <f t="shared" si="2"/>
        <v>6450.3064498565236</v>
      </c>
      <c r="E33" s="207">
        <f t="shared" si="2"/>
        <v>6772.8217723493499</v>
      </c>
      <c r="F33" s="207">
        <f t="shared" si="2"/>
        <v>7111.462860966818</v>
      </c>
      <c r="G33" s="207">
        <f t="shared" si="2"/>
        <v>7467.0360040151591</v>
      </c>
      <c r="H33" s="207">
        <f t="shared" si="2"/>
        <v>7840.3878042159176</v>
      </c>
      <c r="I33" s="207">
        <f t="shared" si="2"/>
        <v>8232.4071944267143</v>
      </c>
      <c r="J33" s="207">
        <f t="shared" si="2"/>
        <v>8644.0275541480496</v>
      </c>
      <c r="K33" s="207">
        <f t="shared" si="2"/>
        <v>9076.2289318554522</v>
      </c>
      <c r="L33" s="207">
        <f t="shared" si="2"/>
        <v>9530.040378448226</v>
      </c>
      <c r="M33" s="207">
        <f t="shared" si="2"/>
        <v>10006.542397370638</v>
      </c>
      <c r="N33" s="207">
        <f t="shared" si="2"/>
        <v>10506.869517239171</v>
      </c>
      <c r="O33" s="72"/>
      <c r="P33" s="72"/>
      <c r="Q33" s="73"/>
      <c r="R33" s="73"/>
      <c r="S33" s="73"/>
      <c r="T33" s="75"/>
      <c r="U33" s="74"/>
    </row>
    <row r="34" spans="1:21" s="76" customFormat="1" ht="30" customHeight="1">
      <c r="A34" s="234">
        <v>30</v>
      </c>
      <c r="B34" s="205" t="s">
        <v>43</v>
      </c>
      <c r="C34" s="206">
        <f>($A$200+$B$200)*'[14]نرخ تسهیم'!J32</f>
        <v>113.8081767833357</v>
      </c>
      <c r="D34" s="207">
        <f t="shared" si="2"/>
        <v>119.49858562250249</v>
      </c>
      <c r="E34" s="207">
        <f t="shared" si="2"/>
        <v>125.47351490362762</v>
      </c>
      <c r="F34" s="207">
        <f t="shared" si="2"/>
        <v>131.74719064880901</v>
      </c>
      <c r="G34" s="207">
        <f t="shared" si="2"/>
        <v>138.33455018124945</v>
      </c>
      <c r="H34" s="207">
        <f t="shared" si="2"/>
        <v>145.25127769031192</v>
      </c>
      <c r="I34" s="207">
        <f t="shared" si="2"/>
        <v>152.51384157482752</v>
      </c>
      <c r="J34" s="207">
        <f t="shared" si="2"/>
        <v>160.13953365356892</v>
      </c>
      <c r="K34" s="207">
        <f t="shared" si="2"/>
        <v>168.14651033624736</v>
      </c>
      <c r="L34" s="207">
        <f t="shared" si="2"/>
        <v>176.55383585305972</v>
      </c>
      <c r="M34" s="207">
        <f t="shared" si="2"/>
        <v>185.38152764571271</v>
      </c>
      <c r="N34" s="207">
        <f t="shared" si="2"/>
        <v>194.65060402799836</v>
      </c>
      <c r="O34" s="72"/>
      <c r="P34" s="72"/>
      <c r="Q34" s="73"/>
      <c r="R34" s="73"/>
      <c r="S34" s="73"/>
      <c r="T34" s="75"/>
      <c r="U34" s="74"/>
    </row>
    <row r="35" spans="1:21" s="76" customFormat="1" ht="30" customHeight="1">
      <c r="A35" s="234">
        <v>31</v>
      </c>
      <c r="B35" s="205" t="s">
        <v>44</v>
      </c>
      <c r="C35" s="206">
        <f>($A$200+$B$200)*'[14]نرخ تسهیم'!J33</f>
        <v>3502.3389965434831</v>
      </c>
      <c r="D35" s="207">
        <f t="shared" si="2"/>
        <v>3677.4559463706573</v>
      </c>
      <c r="E35" s="207">
        <f t="shared" si="2"/>
        <v>3861.3287436891906</v>
      </c>
      <c r="F35" s="207">
        <f t="shared" si="2"/>
        <v>4054.3951808736501</v>
      </c>
      <c r="G35" s="207">
        <f t="shared" si="2"/>
        <v>4257.1149399173328</v>
      </c>
      <c r="H35" s="207">
        <f t="shared" si="2"/>
        <v>4469.9706869131996</v>
      </c>
      <c r="I35" s="207">
        <f t="shared" si="2"/>
        <v>4693.4692212588598</v>
      </c>
      <c r="J35" s="207">
        <f t="shared" si="2"/>
        <v>4928.1426823218026</v>
      </c>
      <c r="K35" s="207">
        <f t="shared" si="2"/>
        <v>5174.5498164378932</v>
      </c>
      <c r="L35" s="207">
        <f t="shared" si="2"/>
        <v>5433.2773072597884</v>
      </c>
      <c r="M35" s="207">
        <f t="shared" si="2"/>
        <v>5704.9411726227781</v>
      </c>
      <c r="N35" s="207">
        <f t="shared" si="2"/>
        <v>5990.1882312539174</v>
      </c>
      <c r="O35" s="72"/>
      <c r="P35" s="72"/>
      <c r="Q35" s="73"/>
      <c r="R35" s="73"/>
      <c r="S35" s="73"/>
      <c r="T35" s="75"/>
      <c r="U35" s="74"/>
    </row>
    <row r="36" spans="1:21" s="76" customFormat="1" ht="30" customHeight="1">
      <c r="A36" s="234">
        <v>32</v>
      </c>
      <c r="B36" s="205" t="s">
        <v>45</v>
      </c>
      <c r="C36" s="206">
        <f>($A$200+$B$200)*'[14]نرخ تسهیم'!J34</f>
        <v>5011.3050722483622</v>
      </c>
      <c r="D36" s="207">
        <f t="shared" si="2"/>
        <v>5261.8703258607802</v>
      </c>
      <c r="E36" s="207">
        <f t="shared" si="2"/>
        <v>5524.9638421538193</v>
      </c>
      <c r="F36" s="207">
        <f t="shared" si="2"/>
        <v>5801.2120342615108</v>
      </c>
      <c r="G36" s="207">
        <f t="shared" si="2"/>
        <v>6091.2726359745866</v>
      </c>
      <c r="H36" s="207">
        <f t="shared" si="2"/>
        <v>6395.8362677733157</v>
      </c>
      <c r="I36" s="207">
        <f t="shared" si="2"/>
        <v>6715.6280811619818</v>
      </c>
      <c r="J36" s="207">
        <f t="shared" si="2"/>
        <v>7051.4094852200815</v>
      </c>
      <c r="K36" s="207">
        <f t="shared" si="2"/>
        <v>7403.9799594810856</v>
      </c>
      <c r="L36" s="207">
        <f t="shared" si="2"/>
        <v>7774.1789574551403</v>
      </c>
      <c r="M36" s="207">
        <f t="shared" si="2"/>
        <v>8162.8879053278979</v>
      </c>
      <c r="N36" s="207">
        <f t="shared" si="2"/>
        <v>8571.0323005942937</v>
      </c>
      <c r="O36" s="72"/>
      <c r="P36" s="72"/>
      <c r="Q36" s="73"/>
      <c r="R36" s="73"/>
      <c r="S36" s="73"/>
      <c r="T36" s="75"/>
      <c r="U36" s="74"/>
    </row>
    <row r="37" spans="1:21" s="79" customFormat="1" ht="30" customHeight="1">
      <c r="A37" s="412" t="s">
        <v>107</v>
      </c>
      <c r="B37" s="412"/>
      <c r="C37" s="206">
        <f t="shared" ref="C37:N37" si="3">SUM(C5:C36)</f>
        <v>173388.73999999996</v>
      </c>
      <c r="D37" s="206">
        <f t="shared" si="3"/>
        <v>182058.17699999997</v>
      </c>
      <c r="E37" s="206">
        <f t="shared" si="3"/>
        <v>191161.08585</v>
      </c>
      <c r="F37" s="206">
        <f t="shared" si="3"/>
        <v>200719.14014250008</v>
      </c>
      <c r="G37" s="206">
        <f t="shared" si="3"/>
        <v>210755.09714962507</v>
      </c>
      <c r="H37" s="206">
        <f t="shared" si="3"/>
        <v>221292.8520071063</v>
      </c>
      <c r="I37" s="206">
        <f t="shared" si="3"/>
        <v>232357.49460746165</v>
      </c>
      <c r="J37" s="206">
        <f t="shared" si="3"/>
        <v>243975.36933783468</v>
      </c>
      <c r="K37" s="206">
        <f t="shared" si="3"/>
        <v>256174.13780472637</v>
      </c>
      <c r="L37" s="206">
        <f t="shared" si="3"/>
        <v>268982.84469496273</v>
      </c>
      <c r="M37" s="206">
        <f t="shared" si="3"/>
        <v>282431.98692971084</v>
      </c>
      <c r="N37" s="206">
        <f t="shared" si="3"/>
        <v>296553.58627619653</v>
      </c>
      <c r="O37" s="72"/>
      <c r="P37" s="72"/>
      <c r="Q37" s="73"/>
      <c r="R37" s="73"/>
      <c r="S37" s="73"/>
      <c r="T37" s="77"/>
      <c r="U37" s="78"/>
    </row>
    <row r="199" spans="1:20" s="33" customFormat="1" ht="35.1" customHeight="1">
      <c r="D199" s="80"/>
      <c r="E199" s="80"/>
      <c r="F199" s="80"/>
      <c r="G199" s="80"/>
      <c r="H199" s="80"/>
      <c r="I199" s="80"/>
      <c r="J199" s="80"/>
      <c r="K199" s="80"/>
      <c r="L199" s="80"/>
      <c r="M199" s="80"/>
      <c r="N199" s="81"/>
      <c r="O199" s="32"/>
      <c r="P199" s="32"/>
      <c r="Q199" s="32"/>
      <c r="R199" s="32"/>
      <c r="T199" s="34"/>
    </row>
    <row r="200" spans="1:20" s="47" customFormat="1" ht="35.1" hidden="1" customHeight="1">
      <c r="A200" s="47">
        <f>'[14]عملیات-فعالیت ها '!$L$73</f>
        <v>173388.74</v>
      </c>
      <c r="B200" s="47">
        <f>'[14]عملیات-فعالیت ها '!$M$73</f>
        <v>0</v>
      </c>
      <c r="D200" s="48"/>
      <c r="E200" s="48"/>
      <c r="F200" s="48"/>
      <c r="G200" s="48"/>
      <c r="H200" s="48"/>
      <c r="I200" s="48"/>
      <c r="J200" s="48"/>
      <c r="K200" s="48"/>
      <c r="L200" s="48"/>
      <c r="M200" s="48"/>
      <c r="N200" s="49"/>
      <c r="O200" s="50"/>
      <c r="P200" s="50"/>
      <c r="Q200" s="50"/>
      <c r="R200" s="50"/>
      <c r="T200" s="51"/>
    </row>
    <row r="201" spans="1:20" s="33" customFormat="1" ht="35.1" customHeight="1">
      <c r="D201" s="80"/>
      <c r="E201" s="80"/>
      <c r="F201" s="80"/>
      <c r="G201" s="80"/>
      <c r="H201" s="80"/>
      <c r="I201" s="80"/>
      <c r="J201" s="80"/>
      <c r="K201" s="80"/>
      <c r="L201" s="80"/>
      <c r="M201" s="80"/>
      <c r="N201" s="81"/>
      <c r="O201" s="32"/>
      <c r="P201" s="32"/>
      <c r="Q201" s="32"/>
      <c r="R201" s="32"/>
      <c r="T201" s="34"/>
    </row>
  </sheetData>
  <mergeCells count="17">
    <mergeCell ref="A37:B37"/>
    <mergeCell ref="I3:I4"/>
    <mergeCell ref="J3:J4"/>
    <mergeCell ref="K3:K4"/>
    <mergeCell ref="L3:L4"/>
    <mergeCell ref="M3:M4"/>
    <mergeCell ref="N3:N4"/>
    <mergeCell ref="A1:N1"/>
    <mergeCell ref="A2:A4"/>
    <mergeCell ref="B2:B4"/>
    <mergeCell ref="C2:C4"/>
    <mergeCell ref="D2:D4"/>
    <mergeCell ref="E2:I2"/>
    <mergeCell ref="J2:N2"/>
    <mergeCell ref="E3:F3"/>
    <mergeCell ref="G3:G4"/>
    <mergeCell ref="H3:H4"/>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309"/>
  <sheetViews>
    <sheetView showGridLines="0" rightToLeft="1" workbookViewId="0">
      <pane xSplit="25" topLeftCell="Z1" activePane="topRight" state="frozen"/>
      <selection pane="topRight" sqref="A1:M1"/>
    </sheetView>
  </sheetViews>
  <sheetFormatPr defaultColWidth="28.6640625" defaultRowHeight="5.65" customHeight="1"/>
  <cols>
    <col min="1" max="1" width="9.33203125" style="3" customWidth="1"/>
    <col min="2" max="2" width="55.5" style="3" customWidth="1"/>
    <col min="3" max="3" width="9" style="125" customWidth="1"/>
    <col min="4" max="9" width="6.6640625" style="126" customWidth="1"/>
    <col min="10" max="12" width="12.5" style="3" customWidth="1"/>
    <col min="13" max="13" width="12.33203125" style="2" customWidth="1"/>
    <col min="14" max="18" width="10.1640625" style="29" hidden="1" customWidth="1"/>
    <col min="19" max="23" width="10.33203125" style="29" hidden="1" customWidth="1"/>
    <col min="24" max="25" width="10.1640625" style="30" hidden="1" customWidth="1"/>
    <col min="26" max="26" width="27.1640625" style="121" customWidth="1"/>
    <col min="27" max="27" width="28.6640625" style="2"/>
    <col min="28" max="16384" width="28.6640625" style="3"/>
  </cols>
  <sheetData>
    <row r="1" spans="1:26" ht="60.75" customHeight="1">
      <c r="A1" s="413" t="s">
        <v>500</v>
      </c>
      <c r="B1" s="413"/>
      <c r="C1" s="413"/>
      <c r="D1" s="413"/>
      <c r="E1" s="413"/>
      <c r="F1" s="413"/>
      <c r="G1" s="413"/>
      <c r="H1" s="413"/>
      <c r="I1" s="413"/>
      <c r="J1" s="413"/>
      <c r="K1" s="413"/>
      <c r="L1" s="413"/>
      <c r="M1" s="413"/>
    </row>
    <row r="2" spans="1:26" ht="33.75" customHeight="1">
      <c r="A2" s="235">
        <f>$M$74</f>
        <v>2</v>
      </c>
      <c r="B2" s="414" t="s">
        <v>134</v>
      </c>
      <c r="C2" s="383" t="s">
        <v>135</v>
      </c>
      <c r="D2" s="384" t="s">
        <v>136</v>
      </c>
      <c r="E2" s="384"/>
      <c r="F2" s="384"/>
      <c r="G2" s="384"/>
      <c r="H2" s="384" t="s">
        <v>137</v>
      </c>
      <c r="I2" s="384" t="s">
        <v>138</v>
      </c>
      <c r="J2" s="385" t="s">
        <v>139</v>
      </c>
      <c r="K2" s="385" t="s">
        <v>140</v>
      </c>
      <c r="L2" s="385" t="s">
        <v>141</v>
      </c>
      <c r="M2" s="386" t="s">
        <v>142</v>
      </c>
    </row>
    <row r="3" spans="1:26" ht="31.5" customHeight="1">
      <c r="A3" s="236" t="s">
        <v>0</v>
      </c>
      <c r="B3" s="415"/>
      <c r="C3" s="383"/>
      <c r="D3" s="208" t="s">
        <v>143</v>
      </c>
      <c r="E3" s="208" t="s">
        <v>144</v>
      </c>
      <c r="F3" s="208" t="s">
        <v>145</v>
      </c>
      <c r="G3" s="208" t="s">
        <v>146</v>
      </c>
      <c r="H3" s="384"/>
      <c r="I3" s="384"/>
      <c r="J3" s="385"/>
      <c r="K3" s="385"/>
      <c r="L3" s="385"/>
      <c r="M3" s="386"/>
      <c r="N3" s="29" t="s">
        <v>147</v>
      </c>
      <c r="O3" s="29" t="s">
        <v>148</v>
      </c>
      <c r="P3" s="29" t="s">
        <v>149</v>
      </c>
      <c r="Q3" s="29" t="s">
        <v>150</v>
      </c>
      <c r="R3" s="29" t="s">
        <v>147</v>
      </c>
      <c r="S3" s="29" t="s">
        <v>148</v>
      </c>
      <c r="T3" s="29" t="s">
        <v>149</v>
      </c>
      <c r="U3" s="29" t="s">
        <v>150</v>
      </c>
      <c r="V3" s="29" t="s">
        <v>151</v>
      </c>
      <c r="W3" s="29" t="s">
        <v>152</v>
      </c>
      <c r="X3" s="30" t="s">
        <v>153</v>
      </c>
      <c r="Y3" s="30" t="s">
        <v>154</v>
      </c>
    </row>
    <row r="4" spans="1:26" ht="54.95" customHeight="1">
      <c r="A4" s="209">
        <v>1</v>
      </c>
      <c r="B4" s="232" t="s">
        <v>501</v>
      </c>
      <c r="C4" s="211">
        <v>0.01</v>
      </c>
      <c r="D4" s="212">
        <v>0</v>
      </c>
      <c r="E4" s="212">
        <v>0</v>
      </c>
      <c r="F4" s="212">
        <v>0</v>
      </c>
      <c r="G4" s="212">
        <v>1</v>
      </c>
      <c r="H4" s="212">
        <v>1</v>
      </c>
      <c r="I4" s="212">
        <v>4</v>
      </c>
      <c r="J4" s="213">
        <v>0</v>
      </c>
      <c r="K4" s="213">
        <v>0</v>
      </c>
      <c r="L4" s="213">
        <f t="shared" ref="L4:L67" si="0">(((J4*C4)/$A$2)*D4)+(((J4*C4)/$A$2)*E4)+(((J4*C4)/$A$2)*F4)+(((J4*C4)/$A$2)*G4)</f>
        <v>0</v>
      </c>
      <c r="M4" s="214">
        <f t="shared" ref="M4:M67" si="1">(((K4*C4)/$A$2)*D4)+(((K4*C4)/$A$2)*E4)+(((K4*C4)/$A$2)*F4)+(((K4*C4)/$A$2)*G4)</f>
        <v>0</v>
      </c>
      <c r="N4" s="122">
        <f t="shared" ref="N4:N67" si="2">J4*D4*C4/$A$2</f>
        <v>0</v>
      </c>
      <c r="O4" s="122">
        <f t="shared" ref="O4:O67" si="3">J4*E4*C4/$A$2</f>
        <v>0</v>
      </c>
      <c r="P4" s="122">
        <f>J4*F4*C4/$A$2</f>
        <v>0</v>
      </c>
      <c r="Q4" s="122">
        <f t="shared" ref="Q4:Q67" si="4">J4*G4*C4/$A$2</f>
        <v>0</v>
      </c>
      <c r="R4" s="122">
        <f t="shared" ref="R4:R67" si="5">K4*D4*C4/$A$2</f>
        <v>0</v>
      </c>
      <c r="S4" s="122">
        <f t="shared" ref="S4:S67" si="6">K4*E4*C4/$A$2</f>
        <v>0</v>
      </c>
      <c r="T4" s="122">
        <f t="shared" ref="T4:T67" si="7">K4*F4*C4/$A$2</f>
        <v>0</v>
      </c>
      <c r="U4" s="122">
        <f t="shared" ref="U4:U67" si="8">K4*G4*C4/$A$2</f>
        <v>0</v>
      </c>
      <c r="V4" s="30">
        <f>((L4/15)*((I4+H4)-2))</f>
        <v>0</v>
      </c>
      <c r="W4" s="30">
        <f>((M4/15)*((I4+H4)-2))</f>
        <v>0</v>
      </c>
      <c r="X4" s="30">
        <f>L4*(V4/(V4-0.0000001))</f>
        <v>0</v>
      </c>
      <c r="Y4" s="30">
        <f>M4*(W4/(W4-0.0000001))</f>
        <v>0</v>
      </c>
      <c r="Z4" s="2"/>
    </row>
    <row r="5" spans="1:26" ht="54.95" customHeight="1">
      <c r="A5" s="209">
        <v>2</v>
      </c>
      <c r="B5" s="232" t="s">
        <v>502</v>
      </c>
      <c r="C5" s="211">
        <v>2.5</v>
      </c>
      <c r="D5" s="212">
        <v>0</v>
      </c>
      <c r="E5" s="212">
        <v>1</v>
      </c>
      <c r="F5" s="212">
        <v>0</v>
      </c>
      <c r="G5" s="212">
        <v>1</v>
      </c>
      <c r="H5" s="212">
        <v>1</v>
      </c>
      <c r="I5" s="212">
        <v>4</v>
      </c>
      <c r="J5" s="213">
        <v>0</v>
      </c>
      <c r="K5" s="213">
        <v>0</v>
      </c>
      <c r="L5" s="213">
        <f t="shared" si="0"/>
        <v>0</v>
      </c>
      <c r="M5" s="214">
        <f t="shared" si="1"/>
        <v>0</v>
      </c>
      <c r="N5" s="122">
        <f t="shared" si="2"/>
        <v>0</v>
      </c>
      <c r="O5" s="122">
        <f t="shared" si="3"/>
        <v>0</v>
      </c>
      <c r="P5" s="122">
        <f t="shared" ref="P5:P68" si="9">J5*F5*C5/$A$2</f>
        <v>0</v>
      </c>
      <c r="Q5" s="122">
        <f t="shared" si="4"/>
        <v>0</v>
      </c>
      <c r="R5" s="122">
        <f t="shared" si="5"/>
        <v>0</v>
      </c>
      <c r="S5" s="122">
        <f t="shared" si="6"/>
        <v>0</v>
      </c>
      <c r="T5" s="122">
        <f t="shared" si="7"/>
        <v>0</v>
      </c>
      <c r="U5" s="122">
        <f t="shared" si="8"/>
        <v>0</v>
      </c>
      <c r="V5" s="30">
        <f t="shared" ref="V5:V68" si="10">((L5/15)*((I5+H5)-2))</f>
        <v>0</v>
      </c>
      <c r="W5" s="30">
        <f t="shared" ref="W5:W68" si="11">((M5/15)*((I5+H5)-2))</f>
        <v>0</v>
      </c>
      <c r="X5" s="30">
        <f t="shared" ref="X5:Y68" si="12">L5*(V5/(V5-0.0000001))</f>
        <v>0</v>
      </c>
      <c r="Y5" s="30">
        <f t="shared" si="12"/>
        <v>0</v>
      </c>
      <c r="Z5" s="2"/>
    </row>
    <row r="6" spans="1:26" ht="54.95" customHeight="1">
      <c r="A6" s="209">
        <v>3</v>
      </c>
      <c r="B6" s="232" t="s">
        <v>503</v>
      </c>
      <c r="C6" s="211">
        <v>6</v>
      </c>
      <c r="D6" s="212">
        <v>0</v>
      </c>
      <c r="E6" s="212">
        <v>1</v>
      </c>
      <c r="F6" s="212">
        <v>0</v>
      </c>
      <c r="G6" s="212">
        <v>1</v>
      </c>
      <c r="H6" s="212">
        <v>4</v>
      </c>
      <c r="I6" s="212">
        <v>4</v>
      </c>
      <c r="J6" s="213">
        <v>0</v>
      </c>
      <c r="K6" s="213">
        <v>0</v>
      </c>
      <c r="L6" s="213">
        <f t="shared" si="0"/>
        <v>0</v>
      </c>
      <c r="M6" s="214">
        <f t="shared" si="1"/>
        <v>0</v>
      </c>
      <c r="N6" s="122">
        <f t="shared" si="2"/>
        <v>0</v>
      </c>
      <c r="O6" s="122">
        <f t="shared" si="3"/>
        <v>0</v>
      </c>
      <c r="P6" s="122">
        <f t="shared" si="9"/>
        <v>0</v>
      </c>
      <c r="Q6" s="122">
        <f t="shared" si="4"/>
        <v>0</v>
      </c>
      <c r="R6" s="122">
        <f t="shared" si="5"/>
        <v>0</v>
      </c>
      <c r="S6" s="122">
        <f t="shared" si="6"/>
        <v>0</v>
      </c>
      <c r="T6" s="122">
        <f t="shared" si="7"/>
        <v>0</v>
      </c>
      <c r="U6" s="122">
        <f t="shared" si="8"/>
        <v>0</v>
      </c>
      <c r="V6" s="30">
        <f t="shared" si="10"/>
        <v>0</v>
      </c>
      <c r="W6" s="30">
        <f t="shared" si="11"/>
        <v>0</v>
      </c>
      <c r="X6" s="30">
        <f t="shared" si="12"/>
        <v>0</v>
      </c>
      <c r="Y6" s="30">
        <f t="shared" si="12"/>
        <v>0</v>
      </c>
      <c r="Z6" s="2"/>
    </row>
    <row r="7" spans="1:26" ht="54.95" customHeight="1">
      <c r="A7" s="209">
        <v>4</v>
      </c>
      <c r="B7" s="232" t="s">
        <v>504</v>
      </c>
      <c r="C7" s="211">
        <v>2</v>
      </c>
      <c r="D7" s="212">
        <v>0</v>
      </c>
      <c r="E7" s="212">
        <v>1</v>
      </c>
      <c r="F7" s="212">
        <v>0</v>
      </c>
      <c r="G7" s="212">
        <v>0</v>
      </c>
      <c r="H7" s="212">
        <v>3</v>
      </c>
      <c r="I7" s="212">
        <v>4</v>
      </c>
      <c r="J7" s="213">
        <v>0</v>
      </c>
      <c r="K7" s="213">
        <v>0</v>
      </c>
      <c r="L7" s="213">
        <f t="shared" si="0"/>
        <v>0</v>
      </c>
      <c r="M7" s="214">
        <f t="shared" si="1"/>
        <v>0</v>
      </c>
      <c r="N7" s="122">
        <f t="shared" si="2"/>
        <v>0</v>
      </c>
      <c r="O7" s="122">
        <f t="shared" si="3"/>
        <v>0</v>
      </c>
      <c r="P7" s="122">
        <f t="shared" si="9"/>
        <v>0</v>
      </c>
      <c r="Q7" s="122">
        <f t="shared" si="4"/>
        <v>0</v>
      </c>
      <c r="R7" s="122">
        <f t="shared" si="5"/>
        <v>0</v>
      </c>
      <c r="S7" s="122">
        <f t="shared" si="6"/>
        <v>0</v>
      </c>
      <c r="T7" s="122">
        <f t="shared" si="7"/>
        <v>0</v>
      </c>
      <c r="U7" s="122">
        <f t="shared" si="8"/>
        <v>0</v>
      </c>
      <c r="V7" s="30">
        <f t="shared" si="10"/>
        <v>0</v>
      </c>
      <c r="W7" s="30">
        <f t="shared" si="11"/>
        <v>0</v>
      </c>
      <c r="X7" s="30">
        <f t="shared" si="12"/>
        <v>0</v>
      </c>
      <c r="Y7" s="30">
        <f t="shared" si="12"/>
        <v>0</v>
      </c>
      <c r="Z7" s="2"/>
    </row>
    <row r="8" spans="1:26" ht="54.95" customHeight="1">
      <c r="A8" s="209">
        <v>5</v>
      </c>
      <c r="B8" s="232" t="s">
        <v>505</v>
      </c>
      <c r="C8" s="211">
        <v>3</v>
      </c>
      <c r="D8" s="212">
        <v>0</v>
      </c>
      <c r="E8" s="212">
        <v>1</v>
      </c>
      <c r="F8" s="212">
        <v>0</v>
      </c>
      <c r="G8" s="212">
        <v>0</v>
      </c>
      <c r="H8" s="212">
        <v>3</v>
      </c>
      <c r="I8" s="212">
        <v>4</v>
      </c>
      <c r="J8" s="213">
        <v>0</v>
      </c>
      <c r="K8" s="213">
        <v>0</v>
      </c>
      <c r="L8" s="213">
        <f t="shared" si="0"/>
        <v>0</v>
      </c>
      <c r="M8" s="214">
        <f t="shared" si="1"/>
        <v>0</v>
      </c>
      <c r="N8" s="122">
        <f t="shared" si="2"/>
        <v>0</v>
      </c>
      <c r="O8" s="122">
        <f t="shared" si="3"/>
        <v>0</v>
      </c>
      <c r="P8" s="122">
        <f t="shared" si="9"/>
        <v>0</v>
      </c>
      <c r="Q8" s="122">
        <f t="shared" si="4"/>
        <v>0</v>
      </c>
      <c r="R8" s="122">
        <f t="shared" si="5"/>
        <v>0</v>
      </c>
      <c r="S8" s="122">
        <f t="shared" si="6"/>
        <v>0</v>
      </c>
      <c r="T8" s="122">
        <f t="shared" si="7"/>
        <v>0</v>
      </c>
      <c r="U8" s="122">
        <f t="shared" si="8"/>
        <v>0</v>
      </c>
      <c r="V8" s="30">
        <f t="shared" si="10"/>
        <v>0</v>
      </c>
      <c r="W8" s="30">
        <f t="shared" si="11"/>
        <v>0</v>
      </c>
      <c r="X8" s="30">
        <f t="shared" si="12"/>
        <v>0</v>
      </c>
      <c r="Y8" s="30">
        <f t="shared" si="12"/>
        <v>0</v>
      </c>
      <c r="Z8" s="2"/>
    </row>
    <row r="9" spans="1:26" ht="54.95" customHeight="1">
      <c r="A9" s="209">
        <v>6</v>
      </c>
      <c r="B9" s="232" t="s">
        <v>506</v>
      </c>
      <c r="C9" s="211">
        <v>4</v>
      </c>
      <c r="D9" s="212">
        <v>0</v>
      </c>
      <c r="E9" s="212">
        <v>1</v>
      </c>
      <c r="F9" s="212">
        <v>0</v>
      </c>
      <c r="G9" s="212">
        <v>0</v>
      </c>
      <c r="H9" s="212">
        <v>3</v>
      </c>
      <c r="I9" s="212">
        <v>4</v>
      </c>
      <c r="J9" s="213">
        <v>0</v>
      </c>
      <c r="K9" s="213">
        <v>0</v>
      </c>
      <c r="L9" s="213">
        <f t="shared" si="0"/>
        <v>0</v>
      </c>
      <c r="M9" s="214">
        <f t="shared" si="1"/>
        <v>0</v>
      </c>
      <c r="N9" s="122">
        <f t="shared" si="2"/>
        <v>0</v>
      </c>
      <c r="O9" s="122">
        <f t="shared" si="3"/>
        <v>0</v>
      </c>
      <c r="P9" s="122">
        <f t="shared" si="9"/>
        <v>0</v>
      </c>
      <c r="Q9" s="122">
        <f t="shared" si="4"/>
        <v>0</v>
      </c>
      <c r="R9" s="122">
        <f t="shared" si="5"/>
        <v>0</v>
      </c>
      <c r="S9" s="122">
        <f t="shared" si="6"/>
        <v>0</v>
      </c>
      <c r="T9" s="122">
        <f t="shared" si="7"/>
        <v>0</v>
      </c>
      <c r="U9" s="122">
        <f t="shared" si="8"/>
        <v>0</v>
      </c>
      <c r="V9" s="30">
        <f t="shared" si="10"/>
        <v>0</v>
      </c>
      <c r="W9" s="30">
        <f t="shared" si="11"/>
        <v>0</v>
      </c>
      <c r="X9" s="30">
        <f t="shared" si="12"/>
        <v>0</v>
      </c>
      <c r="Y9" s="30">
        <f t="shared" si="12"/>
        <v>0</v>
      </c>
      <c r="Z9" s="2"/>
    </row>
    <row r="10" spans="1:26" ht="54.95" customHeight="1">
      <c r="A10" s="209">
        <v>7</v>
      </c>
      <c r="B10" s="232" t="s">
        <v>507</v>
      </c>
      <c r="C10" s="211">
        <v>3</v>
      </c>
      <c r="D10" s="212">
        <v>0</v>
      </c>
      <c r="E10" s="212">
        <v>1</v>
      </c>
      <c r="F10" s="212">
        <v>0</v>
      </c>
      <c r="G10" s="212">
        <v>1</v>
      </c>
      <c r="H10" s="212">
        <v>4</v>
      </c>
      <c r="I10" s="212">
        <v>4</v>
      </c>
      <c r="J10" s="213">
        <v>0</v>
      </c>
      <c r="K10" s="213">
        <v>0</v>
      </c>
      <c r="L10" s="213">
        <f t="shared" si="0"/>
        <v>0</v>
      </c>
      <c r="M10" s="214">
        <f t="shared" si="1"/>
        <v>0</v>
      </c>
      <c r="N10" s="122">
        <f t="shared" si="2"/>
        <v>0</v>
      </c>
      <c r="O10" s="122">
        <f t="shared" si="3"/>
        <v>0</v>
      </c>
      <c r="P10" s="122">
        <f t="shared" si="9"/>
        <v>0</v>
      </c>
      <c r="Q10" s="122">
        <f t="shared" si="4"/>
        <v>0</v>
      </c>
      <c r="R10" s="122">
        <f t="shared" si="5"/>
        <v>0</v>
      </c>
      <c r="S10" s="122">
        <f t="shared" si="6"/>
        <v>0</v>
      </c>
      <c r="T10" s="122">
        <f t="shared" si="7"/>
        <v>0</v>
      </c>
      <c r="U10" s="122">
        <f t="shared" si="8"/>
        <v>0</v>
      </c>
      <c r="V10" s="30">
        <f t="shared" si="10"/>
        <v>0</v>
      </c>
      <c r="W10" s="30">
        <f t="shared" si="11"/>
        <v>0</v>
      </c>
      <c r="X10" s="30">
        <f t="shared" si="12"/>
        <v>0</v>
      </c>
      <c r="Y10" s="30">
        <f t="shared" si="12"/>
        <v>0</v>
      </c>
      <c r="Z10" s="2"/>
    </row>
    <row r="11" spans="1:26" ht="54.95" customHeight="1">
      <c r="A11" s="209">
        <v>8</v>
      </c>
      <c r="B11" s="232" t="s">
        <v>508</v>
      </c>
      <c r="C11" s="211">
        <v>4</v>
      </c>
      <c r="D11" s="212">
        <v>0</v>
      </c>
      <c r="E11" s="212">
        <v>1</v>
      </c>
      <c r="F11" s="212">
        <v>0</v>
      </c>
      <c r="G11" s="212">
        <v>1</v>
      </c>
      <c r="H11" s="212">
        <v>4</v>
      </c>
      <c r="I11" s="212">
        <v>4</v>
      </c>
      <c r="J11" s="213">
        <v>0</v>
      </c>
      <c r="K11" s="213">
        <v>0</v>
      </c>
      <c r="L11" s="213">
        <f t="shared" si="0"/>
        <v>0</v>
      </c>
      <c r="M11" s="214">
        <f t="shared" si="1"/>
        <v>0</v>
      </c>
      <c r="N11" s="122">
        <f t="shared" si="2"/>
        <v>0</v>
      </c>
      <c r="O11" s="122">
        <f t="shared" si="3"/>
        <v>0</v>
      </c>
      <c r="P11" s="122">
        <f t="shared" si="9"/>
        <v>0</v>
      </c>
      <c r="Q11" s="122">
        <f t="shared" si="4"/>
        <v>0</v>
      </c>
      <c r="R11" s="122">
        <f t="shared" si="5"/>
        <v>0</v>
      </c>
      <c r="S11" s="122">
        <f t="shared" si="6"/>
        <v>0</v>
      </c>
      <c r="T11" s="122">
        <f t="shared" si="7"/>
        <v>0</v>
      </c>
      <c r="U11" s="122">
        <f t="shared" si="8"/>
        <v>0</v>
      </c>
      <c r="V11" s="30">
        <f t="shared" si="10"/>
        <v>0</v>
      </c>
      <c r="W11" s="30">
        <f t="shared" si="11"/>
        <v>0</v>
      </c>
      <c r="X11" s="30">
        <f t="shared" si="12"/>
        <v>0</v>
      </c>
      <c r="Y11" s="30">
        <f t="shared" si="12"/>
        <v>0</v>
      </c>
      <c r="Z11" s="2"/>
    </row>
    <row r="12" spans="1:26" ht="54.95" customHeight="1">
      <c r="A12" s="209">
        <v>9</v>
      </c>
      <c r="B12" s="232" t="s">
        <v>509</v>
      </c>
      <c r="C12" s="211">
        <v>5</v>
      </c>
      <c r="D12" s="212">
        <v>0</v>
      </c>
      <c r="E12" s="212">
        <v>1</v>
      </c>
      <c r="F12" s="212">
        <v>0</v>
      </c>
      <c r="G12" s="212">
        <v>1</v>
      </c>
      <c r="H12" s="212">
        <v>4</v>
      </c>
      <c r="I12" s="212">
        <v>4</v>
      </c>
      <c r="J12" s="213">
        <v>0</v>
      </c>
      <c r="K12" s="213">
        <v>0</v>
      </c>
      <c r="L12" s="213">
        <f t="shared" si="0"/>
        <v>0</v>
      </c>
      <c r="M12" s="214">
        <f t="shared" si="1"/>
        <v>0</v>
      </c>
      <c r="N12" s="122">
        <f t="shared" si="2"/>
        <v>0</v>
      </c>
      <c r="O12" s="122">
        <f t="shared" si="3"/>
        <v>0</v>
      </c>
      <c r="P12" s="122">
        <f t="shared" si="9"/>
        <v>0</v>
      </c>
      <c r="Q12" s="122">
        <f t="shared" si="4"/>
        <v>0</v>
      </c>
      <c r="R12" s="122">
        <f t="shared" si="5"/>
        <v>0</v>
      </c>
      <c r="S12" s="122">
        <f t="shared" si="6"/>
        <v>0</v>
      </c>
      <c r="T12" s="122">
        <f t="shared" si="7"/>
        <v>0</v>
      </c>
      <c r="U12" s="122">
        <f t="shared" si="8"/>
        <v>0</v>
      </c>
      <c r="V12" s="30">
        <f t="shared" si="10"/>
        <v>0</v>
      </c>
      <c r="W12" s="30">
        <f t="shared" si="11"/>
        <v>0</v>
      </c>
      <c r="X12" s="30">
        <f t="shared" si="12"/>
        <v>0</v>
      </c>
      <c r="Y12" s="30">
        <f t="shared" si="12"/>
        <v>0</v>
      </c>
      <c r="Z12" s="2"/>
    </row>
    <row r="13" spans="1:26" ht="54.95" customHeight="1">
      <c r="A13" s="209">
        <v>10</v>
      </c>
      <c r="B13" s="232" t="s">
        <v>510</v>
      </c>
      <c r="C13" s="211">
        <v>2.5</v>
      </c>
      <c r="D13" s="212">
        <v>0</v>
      </c>
      <c r="E13" s="212">
        <v>1</v>
      </c>
      <c r="F13" s="212">
        <v>0</v>
      </c>
      <c r="G13" s="212">
        <v>0</v>
      </c>
      <c r="H13" s="212">
        <v>4</v>
      </c>
      <c r="I13" s="212">
        <v>4</v>
      </c>
      <c r="J13" s="213">
        <v>0</v>
      </c>
      <c r="K13" s="213">
        <v>0</v>
      </c>
      <c r="L13" s="213">
        <f t="shared" si="0"/>
        <v>0</v>
      </c>
      <c r="M13" s="214">
        <f t="shared" si="1"/>
        <v>0</v>
      </c>
      <c r="N13" s="122">
        <f t="shared" si="2"/>
        <v>0</v>
      </c>
      <c r="O13" s="122">
        <f t="shared" si="3"/>
        <v>0</v>
      </c>
      <c r="P13" s="122">
        <f t="shared" si="9"/>
        <v>0</v>
      </c>
      <c r="Q13" s="122">
        <f t="shared" si="4"/>
        <v>0</v>
      </c>
      <c r="R13" s="122">
        <f t="shared" si="5"/>
        <v>0</v>
      </c>
      <c r="S13" s="122">
        <f t="shared" si="6"/>
        <v>0</v>
      </c>
      <c r="T13" s="122">
        <f t="shared" si="7"/>
        <v>0</v>
      </c>
      <c r="U13" s="122">
        <f t="shared" si="8"/>
        <v>0</v>
      </c>
      <c r="V13" s="30">
        <f t="shared" si="10"/>
        <v>0</v>
      </c>
      <c r="W13" s="30">
        <f t="shared" si="11"/>
        <v>0</v>
      </c>
      <c r="X13" s="30">
        <f t="shared" si="12"/>
        <v>0</v>
      </c>
      <c r="Y13" s="30">
        <f t="shared" si="12"/>
        <v>0</v>
      </c>
      <c r="Z13" s="2"/>
    </row>
    <row r="14" spans="1:26" ht="54.95" customHeight="1">
      <c r="A14" s="209">
        <v>11</v>
      </c>
      <c r="B14" s="232" t="s">
        <v>511</v>
      </c>
      <c r="C14" s="211">
        <v>3.5</v>
      </c>
      <c r="D14" s="212">
        <v>0</v>
      </c>
      <c r="E14" s="212">
        <v>1</v>
      </c>
      <c r="F14" s="212">
        <v>0</v>
      </c>
      <c r="G14" s="212">
        <v>0</v>
      </c>
      <c r="H14" s="212">
        <v>4</v>
      </c>
      <c r="I14" s="212">
        <v>4</v>
      </c>
      <c r="J14" s="213">
        <v>0</v>
      </c>
      <c r="K14" s="213">
        <v>0</v>
      </c>
      <c r="L14" s="213">
        <f t="shared" si="0"/>
        <v>0</v>
      </c>
      <c r="M14" s="214">
        <f t="shared" si="1"/>
        <v>0</v>
      </c>
      <c r="N14" s="122">
        <f t="shared" si="2"/>
        <v>0</v>
      </c>
      <c r="O14" s="122">
        <f t="shared" si="3"/>
        <v>0</v>
      </c>
      <c r="P14" s="122">
        <f t="shared" si="9"/>
        <v>0</v>
      </c>
      <c r="Q14" s="122">
        <f t="shared" si="4"/>
        <v>0</v>
      </c>
      <c r="R14" s="122">
        <f t="shared" si="5"/>
        <v>0</v>
      </c>
      <c r="S14" s="122">
        <f t="shared" si="6"/>
        <v>0</v>
      </c>
      <c r="T14" s="122">
        <f t="shared" si="7"/>
        <v>0</v>
      </c>
      <c r="U14" s="122">
        <f t="shared" si="8"/>
        <v>0</v>
      </c>
      <c r="V14" s="30">
        <f t="shared" si="10"/>
        <v>0</v>
      </c>
      <c r="W14" s="30">
        <f t="shared" si="11"/>
        <v>0</v>
      </c>
      <c r="X14" s="30">
        <f t="shared" si="12"/>
        <v>0</v>
      </c>
      <c r="Y14" s="30">
        <f t="shared" si="12"/>
        <v>0</v>
      </c>
      <c r="Z14" s="2"/>
    </row>
    <row r="15" spans="1:26" ht="54.95" customHeight="1">
      <c r="A15" s="209">
        <v>12</v>
      </c>
      <c r="B15" s="232" t="s">
        <v>512</v>
      </c>
      <c r="C15" s="211">
        <v>4.5</v>
      </c>
      <c r="D15" s="212">
        <v>0</v>
      </c>
      <c r="E15" s="212">
        <v>1</v>
      </c>
      <c r="F15" s="212">
        <v>0</v>
      </c>
      <c r="G15" s="212">
        <v>0</v>
      </c>
      <c r="H15" s="212">
        <v>4</v>
      </c>
      <c r="I15" s="212">
        <v>4</v>
      </c>
      <c r="J15" s="213">
        <v>0</v>
      </c>
      <c r="K15" s="213">
        <v>0</v>
      </c>
      <c r="L15" s="213">
        <f t="shared" si="0"/>
        <v>0</v>
      </c>
      <c r="M15" s="214">
        <f t="shared" si="1"/>
        <v>0</v>
      </c>
      <c r="N15" s="122">
        <f t="shared" si="2"/>
        <v>0</v>
      </c>
      <c r="O15" s="122">
        <f t="shared" si="3"/>
        <v>0</v>
      </c>
      <c r="P15" s="122">
        <f t="shared" si="9"/>
        <v>0</v>
      </c>
      <c r="Q15" s="122">
        <f t="shared" si="4"/>
        <v>0</v>
      </c>
      <c r="R15" s="122">
        <f t="shared" si="5"/>
        <v>0</v>
      </c>
      <c r="S15" s="122">
        <f t="shared" si="6"/>
        <v>0</v>
      </c>
      <c r="T15" s="122">
        <f t="shared" si="7"/>
        <v>0</v>
      </c>
      <c r="U15" s="122">
        <f t="shared" si="8"/>
        <v>0</v>
      </c>
      <c r="V15" s="30">
        <f t="shared" si="10"/>
        <v>0</v>
      </c>
      <c r="W15" s="30">
        <f t="shared" si="11"/>
        <v>0</v>
      </c>
      <c r="X15" s="30">
        <f t="shared" si="12"/>
        <v>0</v>
      </c>
      <c r="Y15" s="30">
        <f t="shared" si="12"/>
        <v>0</v>
      </c>
      <c r="Z15" s="2"/>
    </row>
    <row r="16" spans="1:26" ht="54.95" customHeight="1">
      <c r="A16" s="209">
        <v>13</v>
      </c>
      <c r="B16" s="232" t="s">
        <v>513</v>
      </c>
      <c r="C16" s="211">
        <v>2</v>
      </c>
      <c r="D16" s="212">
        <v>0</v>
      </c>
      <c r="E16" s="212">
        <v>1</v>
      </c>
      <c r="F16" s="212">
        <v>0</v>
      </c>
      <c r="G16" s="212">
        <v>1</v>
      </c>
      <c r="H16" s="212">
        <v>3</v>
      </c>
      <c r="I16" s="212">
        <v>4</v>
      </c>
      <c r="J16" s="213">
        <v>0</v>
      </c>
      <c r="K16" s="213">
        <v>0</v>
      </c>
      <c r="L16" s="213">
        <f t="shared" si="0"/>
        <v>0</v>
      </c>
      <c r="M16" s="214">
        <f t="shared" si="1"/>
        <v>0</v>
      </c>
      <c r="N16" s="122">
        <f t="shared" si="2"/>
        <v>0</v>
      </c>
      <c r="O16" s="122">
        <f t="shared" si="3"/>
        <v>0</v>
      </c>
      <c r="P16" s="122">
        <f t="shared" si="9"/>
        <v>0</v>
      </c>
      <c r="Q16" s="122">
        <f t="shared" si="4"/>
        <v>0</v>
      </c>
      <c r="R16" s="122">
        <f t="shared" si="5"/>
        <v>0</v>
      </c>
      <c r="S16" s="122">
        <f t="shared" si="6"/>
        <v>0</v>
      </c>
      <c r="T16" s="122">
        <f t="shared" si="7"/>
        <v>0</v>
      </c>
      <c r="U16" s="122">
        <f t="shared" si="8"/>
        <v>0</v>
      </c>
      <c r="V16" s="30">
        <f t="shared" si="10"/>
        <v>0</v>
      </c>
      <c r="W16" s="30">
        <f t="shared" si="11"/>
        <v>0</v>
      </c>
      <c r="X16" s="30">
        <f t="shared" si="12"/>
        <v>0</v>
      </c>
      <c r="Y16" s="30">
        <f t="shared" si="12"/>
        <v>0</v>
      </c>
      <c r="Z16" s="2"/>
    </row>
    <row r="17" spans="1:26" ht="54.95" customHeight="1">
      <c r="A17" s="209">
        <v>14</v>
      </c>
      <c r="B17" s="232" t="s">
        <v>514</v>
      </c>
      <c r="C17" s="211">
        <v>3</v>
      </c>
      <c r="D17" s="212">
        <v>0</v>
      </c>
      <c r="E17" s="212">
        <v>1</v>
      </c>
      <c r="F17" s="212">
        <v>0</v>
      </c>
      <c r="G17" s="212">
        <v>1</v>
      </c>
      <c r="H17" s="212">
        <v>3</v>
      </c>
      <c r="I17" s="212">
        <v>4</v>
      </c>
      <c r="J17" s="213">
        <v>0</v>
      </c>
      <c r="K17" s="213">
        <v>0</v>
      </c>
      <c r="L17" s="213">
        <f t="shared" si="0"/>
        <v>0</v>
      </c>
      <c r="M17" s="214">
        <f t="shared" si="1"/>
        <v>0</v>
      </c>
      <c r="N17" s="122">
        <f t="shared" si="2"/>
        <v>0</v>
      </c>
      <c r="O17" s="122">
        <f t="shared" si="3"/>
        <v>0</v>
      </c>
      <c r="P17" s="122">
        <f t="shared" si="9"/>
        <v>0</v>
      </c>
      <c r="Q17" s="122">
        <f t="shared" si="4"/>
        <v>0</v>
      </c>
      <c r="R17" s="122">
        <f t="shared" si="5"/>
        <v>0</v>
      </c>
      <c r="S17" s="122">
        <f t="shared" si="6"/>
        <v>0</v>
      </c>
      <c r="T17" s="122">
        <f t="shared" si="7"/>
        <v>0</v>
      </c>
      <c r="U17" s="122">
        <f t="shared" si="8"/>
        <v>0</v>
      </c>
      <c r="V17" s="30">
        <f t="shared" si="10"/>
        <v>0</v>
      </c>
      <c r="W17" s="30">
        <f t="shared" si="11"/>
        <v>0</v>
      </c>
      <c r="X17" s="30">
        <f t="shared" si="12"/>
        <v>0</v>
      </c>
      <c r="Y17" s="30">
        <f t="shared" si="12"/>
        <v>0</v>
      </c>
      <c r="Z17" s="2"/>
    </row>
    <row r="18" spans="1:26" ht="54.95" customHeight="1">
      <c r="A18" s="209">
        <v>15</v>
      </c>
      <c r="B18" s="232" t="s">
        <v>515</v>
      </c>
      <c r="C18" s="211">
        <v>4</v>
      </c>
      <c r="D18" s="212">
        <v>0</v>
      </c>
      <c r="E18" s="212">
        <v>1</v>
      </c>
      <c r="F18" s="212">
        <v>0</v>
      </c>
      <c r="G18" s="212">
        <v>1</v>
      </c>
      <c r="H18" s="212">
        <v>4</v>
      </c>
      <c r="I18" s="212">
        <v>4</v>
      </c>
      <c r="J18" s="213">
        <v>0</v>
      </c>
      <c r="K18" s="213">
        <v>0</v>
      </c>
      <c r="L18" s="213">
        <f t="shared" si="0"/>
        <v>0</v>
      </c>
      <c r="M18" s="214">
        <f t="shared" si="1"/>
        <v>0</v>
      </c>
      <c r="N18" s="122">
        <f t="shared" si="2"/>
        <v>0</v>
      </c>
      <c r="O18" s="122">
        <f t="shared" si="3"/>
        <v>0</v>
      </c>
      <c r="P18" s="122">
        <f t="shared" si="9"/>
        <v>0</v>
      </c>
      <c r="Q18" s="122">
        <f t="shared" si="4"/>
        <v>0</v>
      </c>
      <c r="R18" s="122">
        <f t="shared" si="5"/>
        <v>0</v>
      </c>
      <c r="S18" s="122">
        <f t="shared" si="6"/>
        <v>0</v>
      </c>
      <c r="T18" s="122">
        <f t="shared" si="7"/>
        <v>0</v>
      </c>
      <c r="U18" s="122">
        <f t="shared" si="8"/>
        <v>0</v>
      </c>
      <c r="V18" s="30">
        <f t="shared" si="10"/>
        <v>0</v>
      </c>
      <c r="W18" s="30">
        <f t="shared" si="11"/>
        <v>0</v>
      </c>
      <c r="X18" s="30">
        <f t="shared" si="12"/>
        <v>0</v>
      </c>
      <c r="Y18" s="30">
        <f t="shared" si="12"/>
        <v>0</v>
      </c>
      <c r="Z18" s="2"/>
    </row>
    <row r="19" spans="1:26" ht="54.95" customHeight="1">
      <c r="A19" s="209">
        <v>16</v>
      </c>
      <c r="B19" s="232" t="s">
        <v>516</v>
      </c>
      <c r="C19" s="211">
        <v>3</v>
      </c>
      <c r="D19" s="212">
        <v>0</v>
      </c>
      <c r="E19" s="212">
        <v>1</v>
      </c>
      <c r="F19" s="212">
        <v>1</v>
      </c>
      <c r="G19" s="212">
        <v>1</v>
      </c>
      <c r="H19" s="212">
        <v>4</v>
      </c>
      <c r="I19" s="212">
        <v>4</v>
      </c>
      <c r="J19" s="213">
        <v>0</v>
      </c>
      <c r="K19" s="213">
        <v>0</v>
      </c>
      <c r="L19" s="213">
        <f t="shared" si="0"/>
        <v>0</v>
      </c>
      <c r="M19" s="214">
        <f t="shared" si="1"/>
        <v>0</v>
      </c>
      <c r="N19" s="122">
        <f t="shared" si="2"/>
        <v>0</v>
      </c>
      <c r="O19" s="122">
        <f t="shared" si="3"/>
        <v>0</v>
      </c>
      <c r="P19" s="122">
        <f t="shared" si="9"/>
        <v>0</v>
      </c>
      <c r="Q19" s="122">
        <f t="shared" si="4"/>
        <v>0</v>
      </c>
      <c r="R19" s="122">
        <f t="shared" si="5"/>
        <v>0</v>
      </c>
      <c r="S19" s="122">
        <f t="shared" si="6"/>
        <v>0</v>
      </c>
      <c r="T19" s="122">
        <f t="shared" si="7"/>
        <v>0</v>
      </c>
      <c r="U19" s="122">
        <f t="shared" si="8"/>
        <v>0</v>
      </c>
      <c r="V19" s="30">
        <f t="shared" si="10"/>
        <v>0</v>
      </c>
      <c r="W19" s="30">
        <f t="shared" si="11"/>
        <v>0</v>
      </c>
      <c r="X19" s="30">
        <f t="shared" si="12"/>
        <v>0</v>
      </c>
      <c r="Y19" s="30">
        <f t="shared" si="12"/>
        <v>0</v>
      </c>
      <c r="Z19" s="2"/>
    </row>
    <row r="20" spans="1:26" ht="54.95" customHeight="1">
      <c r="A20" s="209">
        <v>17</v>
      </c>
      <c r="B20" s="232" t="s">
        <v>517</v>
      </c>
      <c r="C20" s="211">
        <v>4</v>
      </c>
      <c r="D20" s="212">
        <v>0</v>
      </c>
      <c r="E20" s="212">
        <v>1</v>
      </c>
      <c r="F20" s="212">
        <v>1</v>
      </c>
      <c r="G20" s="212">
        <v>1</v>
      </c>
      <c r="H20" s="212">
        <v>5</v>
      </c>
      <c r="I20" s="212">
        <v>4</v>
      </c>
      <c r="J20" s="213">
        <v>0</v>
      </c>
      <c r="K20" s="213">
        <v>0</v>
      </c>
      <c r="L20" s="213">
        <f t="shared" si="0"/>
        <v>0</v>
      </c>
      <c r="M20" s="214">
        <f t="shared" si="1"/>
        <v>0</v>
      </c>
      <c r="N20" s="122">
        <f t="shared" si="2"/>
        <v>0</v>
      </c>
      <c r="O20" s="122">
        <f t="shared" si="3"/>
        <v>0</v>
      </c>
      <c r="P20" s="122">
        <f t="shared" si="9"/>
        <v>0</v>
      </c>
      <c r="Q20" s="122">
        <f t="shared" si="4"/>
        <v>0</v>
      </c>
      <c r="R20" s="122">
        <f t="shared" si="5"/>
        <v>0</v>
      </c>
      <c r="S20" s="122">
        <f t="shared" si="6"/>
        <v>0</v>
      </c>
      <c r="T20" s="122">
        <f t="shared" si="7"/>
        <v>0</v>
      </c>
      <c r="U20" s="122">
        <f t="shared" si="8"/>
        <v>0</v>
      </c>
      <c r="V20" s="30">
        <f t="shared" si="10"/>
        <v>0</v>
      </c>
      <c r="W20" s="30">
        <f t="shared" si="11"/>
        <v>0</v>
      </c>
      <c r="X20" s="30">
        <f t="shared" si="12"/>
        <v>0</v>
      </c>
      <c r="Y20" s="30">
        <f t="shared" si="12"/>
        <v>0</v>
      </c>
      <c r="Z20" s="2"/>
    </row>
    <row r="21" spans="1:26" ht="54.95" customHeight="1">
      <c r="A21" s="209">
        <v>18</v>
      </c>
      <c r="B21" s="232" t="s">
        <v>518</v>
      </c>
      <c r="C21" s="211">
        <v>5</v>
      </c>
      <c r="D21" s="212">
        <v>0</v>
      </c>
      <c r="E21" s="212">
        <v>1</v>
      </c>
      <c r="F21" s="212">
        <v>0</v>
      </c>
      <c r="G21" s="212">
        <v>1</v>
      </c>
      <c r="H21" s="212">
        <v>5</v>
      </c>
      <c r="I21" s="212">
        <v>4</v>
      </c>
      <c r="J21" s="213">
        <v>0</v>
      </c>
      <c r="K21" s="213">
        <v>0</v>
      </c>
      <c r="L21" s="213">
        <f t="shared" si="0"/>
        <v>0</v>
      </c>
      <c r="M21" s="214">
        <f t="shared" si="1"/>
        <v>0</v>
      </c>
      <c r="N21" s="122">
        <f t="shared" si="2"/>
        <v>0</v>
      </c>
      <c r="O21" s="122">
        <f t="shared" si="3"/>
        <v>0</v>
      </c>
      <c r="P21" s="122">
        <f t="shared" si="9"/>
        <v>0</v>
      </c>
      <c r="Q21" s="122">
        <f t="shared" si="4"/>
        <v>0</v>
      </c>
      <c r="R21" s="122">
        <f t="shared" si="5"/>
        <v>0</v>
      </c>
      <c r="S21" s="122">
        <f t="shared" si="6"/>
        <v>0</v>
      </c>
      <c r="T21" s="122">
        <f t="shared" si="7"/>
        <v>0</v>
      </c>
      <c r="U21" s="122">
        <f t="shared" si="8"/>
        <v>0</v>
      </c>
      <c r="V21" s="30">
        <f t="shared" si="10"/>
        <v>0</v>
      </c>
      <c r="W21" s="30">
        <f t="shared" si="11"/>
        <v>0</v>
      </c>
      <c r="X21" s="30">
        <f t="shared" si="12"/>
        <v>0</v>
      </c>
      <c r="Y21" s="30">
        <f t="shared" si="12"/>
        <v>0</v>
      </c>
      <c r="Z21" s="2"/>
    </row>
    <row r="22" spans="1:26" ht="54.95" customHeight="1">
      <c r="A22" s="209">
        <v>19</v>
      </c>
      <c r="B22" s="232" t="s">
        <v>519</v>
      </c>
      <c r="C22" s="211">
        <v>2.5</v>
      </c>
      <c r="D22" s="212">
        <v>0</v>
      </c>
      <c r="E22" s="212">
        <v>1</v>
      </c>
      <c r="F22" s="212">
        <v>0</v>
      </c>
      <c r="G22" s="212">
        <v>1</v>
      </c>
      <c r="H22" s="212">
        <v>4</v>
      </c>
      <c r="I22" s="212">
        <v>4</v>
      </c>
      <c r="J22" s="213">
        <v>0</v>
      </c>
      <c r="K22" s="213">
        <v>0</v>
      </c>
      <c r="L22" s="213">
        <f t="shared" si="0"/>
        <v>0</v>
      </c>
      <c r="M22" s="214">
        <f t="shared" si="1"/>
        <v>0</v>
      </c>
      <c r="N22" s="122">
        <f t="shared" si="2"/>
        <v>0</v>
      </c>
      <c r="O22" s="122">
        <f t="shared" si="3"/>
        <v>0</v>
      </c>
      <c r="P22" s="122">
        <f t="shared" si="9"/>
        <v>0</v>
      </c>
      <c r="Q22" s="122">
        <f t="shared" si="4"/>
        <v>0</v>
      </c>
      <c r="R22" s="122">
        <f t="shared" si="5"/>
        <v>0</v>
      </c>
      <c r="S22" s="122">
        <f t="shared" si="6"/>
        <v>0</v>
      </c>
      <c r="T22" s="122">
        <f t="shared" si="7"/>
        <v>0</v>
      </c>
      <c r="U22" s="122">
        <f t="shared" si="8"/>
        <v>0</v>
      </c>
      <c r="V22" s="30">
        <f t="shared" si="10"/>
        <v>0</v>
      </c>
      <c r="W22" s="30">
        <f t="shared" si="11"/>
        <v>0</v>
      </c>
      <c r="X22" s="30">
        <f t="shared" si="12"/>
        <v>0</v>
      </c>
      <c r="Y22" s="30">
        <f t="shared" si="12"/>
        <v>0</v>
      </c>
      <c r="Z22" s="2"/>
    </row>
    <row r="23" spans="1:26" ht="54.95" customHeight="1">
      <c r="A23" s="209">
        <v>20</v>
      </c>
      <c r="B23" s="232" t="s">
        <v>520</v>
      </c>
      <c r="C23" s="211">
        <v>3.5</v>
      </c>
      <c r="D23" s="212">
        <v>0</v>
      </c>
      <c r="E23" s="212">
        <v>1</v>
      </c>
      <c r="F23" s="212">
        <v>0</v>
      </c>
      <c r="G23" s="212">
        <v>1</v>
      </c>
      <c r="H23" s="212">
        <v>5</v>
      </c>
      <c r="I23" s="212">
        <v>4</v>
      </c>
      <c r="J23" s="213">
        <v>0</v>
      </c>
      <c r="K23" s="213">
        <v>0</v>
      </c>
      <c r="L23" s="213">
        <f t="shared" si="0"/>
        <v>0</v>
      </c>
      <c r="M23" s="214">
        <f t="shared" si="1"/>
        <v>0</v>
      </c>
      <c r="N23" s="122">
        <f t="shared" si="2"/>
        <v>0</v>
      </c>
      <c r="O23" s="122">
        <f t="shared" si="3"/>
        <v>0</v>
      </c>
      <c r="P23" s="122">
        <f t="shared" si="9"/>
        <v>0</v>
      </c>
      <c r="Q23" s="122">
        <f t="shared" si="4"/>
        <v>0</v>
      </c>
      <c r="R23" s="122">
        <f t="shared" si="5"/>
        <v>0</v>
      </c>
      <c r="S23" s="122">
        <f t="shared" si="6"/>
        <v>0</v>
      </c>
      <c r="T23" s="122">
        <f t="shared" si="7"/>
        <v>0</v>
      </c>
      <c r="U23" s="122">
        <f t="shared" si="8"/>
        <v>0</v>
      </c>
      <c r="V23" s="30">
        <f t="shared" si="10"/>
        <v>0</v>
      </c>
      <c r="W23" s="30">
        <f t="shared" si="11"/>
        <v>0</v>
      </c>
      <c r="X23" s="30">
        <f t="shared" si="12"/>
        <v>0</v>
      </c>
      <c r="Y23" s="30">
        <f t="shared" si="12"/>
        <v>0</v>
      </c>
      <c r="Z23" s="2"/>
    </row>
    <row r="24" spans="1:26" ht="54.95" customHeight="1">
      <c r="A24" s="209">
        <v>21</v>
      </c>
      <c r="B24" s="232" t="s">
        <v>521</v>
      </c>
      <c r="C24" s="211">
        <v>4.5</v>
      </c>
      <c r="D24" s="212">
        <v>0</v>
      </c>
      <c r="E24" s="212">
        <v>1</v>
      </c>
      <c r="F24" s="212">
        <v>0</v>
      </c>
      <c r="G24" s="212">
        <v>1</v>
      </c>
      <c r="H24" s="212">
        <v>5</v>
      </c>
      <c r="I24" s="212">
        <v>4</v>
      </c>
      <c r="J24" s="213">
        <v>0</v>
      </c>
      <c r="K24" s="213">
        <v>0</v>
      </c>
      <c r="L24" s="213">
        <f t="shared" si="0"/>
        <v>0</v>
      </c>
      <c r="M24" s="214">
        <f t="shared" si="1"/>
        <v>0</v>
      </c>
      <c r="N24" s="122">
        <f t="shared" si="2"/>
        <v>0</v>
      </c>
      <c r="O24" s="122">
        <f t="shared" si="3"/>
        <v>0</v>
      </c>
      <c r="P24" s="122">
        <f t="shared" si="9"/>
        <v>0</v>
      </c>
      <c r="Q24" s="122">
        <f t="shared" si="4"/>
        <v>0</v>
      </c>
      <c r="R24" s="122">
        <f t="shared" si="5"/>
        <v>0</v>
      </c>
      <c r="S24" s="122">
        <f t="shared" si="6"/>
        <v>0</v>
      </c>
      <c r="T24" s="122">
        <f t="shared" si="7"/>
        <v>0</v>
      </c>
      <c r="U24" s="122">
        <f t="shared" si="8"/>
        <v>0</v>
      </c>
      <c r="V24" s="30">
        <f t="shared" si="10"/>
        <v>0</v>
      </c>
      <c r="W24" s="30">
        <f t="shared" si="11"/>
        <v>0</v>
      </c>
      <c r="X24" s="30">
        <f t="shared" si="12"/>
        <v>0</v>
      </c>
      <c r="Y24" s="30">
        <f t="shared" si="12"/>
        <v>0</v>
      </c>
      <c r="Z24" s="2"/>
    </row>
    <row r="25" spans="1:26" ht="54.95" customHeight="1">
      <c r="A25" s="209">
        <v>22</v>
      </c>
      <c r="B25" s="232" t="s">
        <v>522</v>
      </c>
      <c r="C25" s="211">
        <v>3</v>
      </c>
      <c r="D25" s="212">
        <v>0</v>
      </c>
      <c r="E25" s="212">
        <v>1</v>
      </c>
      <c r="F25" s="212">
        <v>0</v>
      </c>
      <c r="G25" s="212">
        <v>1</v>
      </c>
      <c r="H25" s="212">
        <v>3</v>
      </c>
      <c r="I25" s="212">
        <v>4</v>
      </c>
      <c r="J25" s="213">
        <v>0</v>
      </c>
      <c r="K25" s="213">
        <v>0</v>
      </c>
      <c r="L25" s="213">
        <f t="shared" si="0"/>
        <v>0</v>
      </c>
      <c r="M25" s="214">
        <f t="shared" si="1"/>
        <v>0</v>
      </c>
      <c r="N25" s="122">
        <f t="shared" si="2"/>
        <v>0</v>
      </c>
      <c r="O25" s="122">
        <f t="shared" si="3"/>
        <v>0</v>
      </c>
      <c r="P25" s="122">
        <f t="shared" si="9"/>
        <v>0</v>
      </c>
      <c r="Q25" s="122">
        <f t="shared" si="4"/>
        <v>0</v>
      </c>
      <c r="R25" s="122">
        <f t="shared" si="5"/>
        <v>0</v>
      </c>
      <c r="S25" s="122">
        <f t="shared" si="6"/>
        <v>0</v>
      </c>
      <c r="T25" s="122">
        <f t="shared" si="7"/>
        <v>0</v>
      </c>
      <c r="U25" s="122">
        <f t="shared" si="8"/>
        <v>0</v>
      </c>
      <c r="V25" s="30">
        <f t="shared" si="10"/>
        <v>0</v>
      </c>
      <c r="W25" s="30">
        <f t="shared" si="11"/>
        <v>0</v>
      </c>
      <c r="X25" s="30">
        <f t="shared" si="12"/>
        <v>0</v>
      </c>
      <c r="Y25" s="30">
        <f t="shared" si="12"/>
        <v>0</v>
      </c>
      <c r="Z25" s="2"/>
    </row>
    <row r="26" spans="1:26" ht="54.95" customHeight="1">
      <c r="A26" s="209">
        <v>23</v>
      </c>
      <c r="B26" s="232" t="s">
        <v>523</v>
      </c>
      <c r="C26" s="211">
        <v>6</v>
      </c>
      <c r="D26" s="212">
        <v>0</v>
      </c>
      <c r="E26" s="212">
        <v>1</v>
      </c>
      <c r="F26" s="212">
        <v>0</v>
      </c>
      <c r="G26" s="212">
        <v>1</v>
      </c>
      <c r="H26" s="212">
        <v>5</v>
      </c>
      <c r="I26" s="212">
        <v>4</v>
      </c>
      <c r="J26" s="213">
        <v>0</v>
      </c>
      <c r="K26" s="213">
        <v>0</v>
      </c>
      <c r="L26" s="213">
        <f t="shared" si="0"/>
        <v>0</v>
      </c>
      <c r="M26" s="214">
        <f t="shared" si="1"/>
        <v>0</v>
      </c>
      <c r="N26" s="122">
        <f t="shared" si="2"/>
        <v>0</v>
      </c>
      <c r="O26" s="122">
        <f t="shared" si="3"/>
        <v>0</v>
      </c>
      <c r="P26" s="122">
        <f t="shared" si="9"/>
        <v>0</v>
      </c>
      <c r="Q26" s="122">
        <f t="shared" si="4"/>
        <v>0</v>
      </c>
      <c r="R26" s="122">
        <f t="shared" si="5"/>
        <v>0</v>
      </c>
      <c r="S26" s="122">
        <f t="shared" si="6"/>
        <v>0</v>
      </c>
      <c r="T26" s="122">
        <f t="shared" si="7"/>
        <v>0</v>
      </c>
      <c r="U26" s="122">
        <f t="shared" si="8"/>
        <v>0</v>
      </c>
      <c r="V26" s="30">
        <f t="shared" si="10"/>
        <v>0</v>
      </c>
      <c r="W26" s="30">
        <f t="shared" si="11"/>
        <v>0</v>
      </c>
      <c r="X26" s="30">
        <f t="shared" si="12"/>
        <v>0</v>
      </c>
      <c r="Y26" s="30">
        <f t="shared" si="12"/>
        <v>0</v>
      </c>
      <c r="Z26" s="2"/>
    </row>
    <row r="27" spans="1:26" ht="54.95" customHeight="1">
      <c r="A27" s="209">
        <v>24</v>
      </c>
      <c r="B27" s="232" t="s">
        <v>524</v>
      </c>
      <c r="C27" s="211">
        <v>12</v>
      </c>
      <c r="D27" s="212">
        <v>0</v>
      </c>
      <c r="E27" s="212">
        <v>1</v>
      </c>
      <c r="F27" s="212">
        <v>1</v>
      </c>
      <c r="G27" s="212">
        <v>1</v>
      </c>
      <c r="H27" s="212">
        <v>5</v>
      </c>
      <c r="I27" s="212">
        <v>4</v>
      </c>
      <c r="J27" s="213">
        <v>0</v>
      </c>
      <c r="K27" s="213">
        <v>0</v>
      </c>
      <c r="L27" s="213">
        <f t="shared" si="0"/>
        <v>0</v>
      </c>
      <c r="M27" s="214">
        <f t="shared" si="1"/>
        <v>0</v>
      </c>
      <c r="N27" s="122">
        <f t="shared" si="2"/>
        <v>0</v>
      </c>
      <c r="O27" s="122">
        <f t="shared" si="3"/>
        <v>0</v>
      </c>
      <c r="P27" s="122">
        <f t="shared" si="9"/>
        <v>0</v>
      </c>
      <c r="Q27" s="122">
        <f t="shared" si="4"/>
        <v>0</v>
      </c>
      <c r="R27" s="122">
        <f t="shared" si="5"/>
        <v>0</v>
      </c>
      <c r="S27" s="122">
        <f t="shared" si="6"/>
        <v>0</v>
      </c>
      <c r="T27" s="122">
        <f t="shared" si="7"/>
        <v>0</v>
      </c>
      <c r="U27" s="122">
        <f t="shared" si="8"/>
        <v>0</v>
      </c>
      <c r="V27" s="30">
        <f t="shared" si="10"/>
        <v>0</v>
      </c>
      <c r="W27" s="30">
        <f t="shared" si="11"/>
        <v>0</v>
      </c>
      <c r="X27" s="30">
        <f t="shared" si="12"/>
        <v>0</v>
      </c>
      <c r="Y27" s="30">
        <f t="shared" si="12"/>
        <v>0</v>
      </c>
      <c r="Z27" s="2"/>
    </row>
    <row r="28" spans="1:26" ht="54.95" customHeight="1">
      <c r="A28" s="209">
        <v>25</v>
      </c>
      <c r="B28" s="232" t="s">
        <v>525</v>
      </c>
      <c r="C28" s="211">
        <v>3</v>
      </c>
      <c r="D28" s="212">
        <v>0</v>
      </c>
      <c r="E28" s="212">
        <v>1</v>
      </c>
      <c r="F28" s="212">
        <v>0</v>
      </c>
      <c r="G28" s="212">
        <v>1</v>
      </c>
      <c r="H28" s="212">
        <v>4</v>
      </c>
      <c r="I28" s="212">
        <v>4</v>
      </c>
      <c r="J28" s="213">
        <v>0</v>
      </c>
      <c r="K28" s="213">
        <v>0</v>
      </c>
      <c r="L28" s="213">
        <f t="shared" si="0"/>
        <v>0</v>
      </c>
      <c r="M28" s="214">
        <f t="shared" si="1"/>
        <v>0</v>
      </c>
      <c r="N28" s="122">
        <f t="shared" si="2"/>
        <v>0</v>
      </c>
      <c r="O28" s="122">
        <f t="shared" si="3"/>
        <v>0</v>
      </c>
      <c r="P28" s="122">
        <f t="shared" si="9"/>
        <v>0</v>
      </c>
      <c r="Q28" s="122">
        <f t="shared" si="4"/>
        <v>0</v>
      </c>
      <c r="R28" s="122">
        <f t="shared" si="5"/>
        <v>0</v>
      </c>
      <c r="S28" s="122">
        <f t="shared" si="6"/>
        <v>0</v>
      </c>
      <c r="T28" s="122">
        <f t="shared" si="7"/>
        <v>0</v>
      </c>
      <c r="U28" s="122">
        <f t="shared" si="8"/>
        <v>0</v>
      </c>
      <c r="V28" s="30">
        <f t="shared" si="10"/>
        <v>0</v>
      </c>
      <c r="W28" s="30">
        <f t="shared" si="11"/>
        <v>0</v>
      </c>
      <c r="X28" s="30">
        <f t="shared" si="12"/>
        <v>0</v>
      </c>
      <c r="Y28" s="30">
        <f t="shared" si="12"/>
        <v>0</v>
      </c>
      <c r="Z28" s="2"/>
    </row>
    <row r="29" spans="1:26" ht="54.95" customHeight="1">
      <c r="A29" s="209">
        <v>26</v>
      </c>
      <c r="B29" s="232" t="s">
        <v>1345</v>
      </c>
      <c r="C29" s="211">
        <v>3</v>
      </c>
      <c r="D29" s="212">
        <v>0</v>
      </c>
      <c r="E29" s="212">
        <v>1</v>
      </c>
      <c r="F29" s="212">
        <v>0</v>
      </c>
      <c r="G29" s="212">
        <v>0</v>
      </c>
      <c r="H29" s="212">
        <v>4</v>
      </c>
      <c r="I29" s="212">
        <v>4</v>
      </c>
      <c r="J29" s="213">
        <v>0</v>
      </c>
      <c r="K29" s="213">
        <v>0</v>
      </c>
      <c r="L29" s="213">
        <f t="shared" si="0"/>
        <v>0</v>
      </c>
      <c r="M29" s="214">
        <f t="shared" si="1"/>
        <v>0</v>
      </c>
      <c r="N29" s="122">
        <f t="shared" si="2"/>
        <v>0</v>
      </c>
      <c r="O29" s="122">
        <f t="shared" si="3"/>
        <v>0</v>
      </c>
      <c r="P29" s="122">
        <f t="shared" si="9"/>
        <v>0</v>
      </c>
      <c r="Q29" s="122">
        <f t="shared" si="4"/>
        <v>0</v>
      </c>
      <c r="R29" s="122">
        <f t="shared" si="5"/>
        <v>0</v>
      </c>
      <c r="S29" s="122">
        <f t="shared" si="6"/>
        <v>0</v>
      </c>
      <c r="T29" s="122">
        <f t="shared" si="7"/>
        <v>0</v>
      </c>
      <c r="U29" s="122">
        <f t="shared" si="8"/>
        <v>0</v>
      </c>
      <c r="V29" s="30">
        <f t="shared" si="10"/>
        <v>0</v>
      </c>
      <c r="W29" s="30">
        <f t="shared" si="11"/>
        <v>0</v>
      </c>
      <c r="X29" s="30">
        <f t="shared" si="12"/>
        <v>0</v>
      </c>
      <c r="Y29" s="30">
        <f t="shared" si="12"/>
        <v>0</v>
      </c>
      <c r="Z29" s="2"/>
    </row>
    <row r="30" spans="1:26" ht="54.95" customHeight="1">
      <c r="A30" s="209">
        <v>27</v>
      </c>
      <c r="B30" s="232" t="s">
        <v>526</v>
      </c>
      <c r="C30" s="211">
        <v>2</v>
      </c>
      <c r="D30" s="212">
        <v>0</v>
      </c>
      <c r="E30" s="212">
        <v>1</v>
      </c>
      <c r="F30" s="212">
        <v>0</v>
      </c>
      <c r="G30" s="212">
        <v>0</v>
      </c>
      <c r="H30" s="212">
        <v>4</v>
      </c>
      <c r="I30" s="212">
        <v>4</v>
      </c>
      <c r="J30" s="213">
        <v>0</v>
      </c>
      <c r="K30" s="213">
        <v>0</v>
      </c>
      <c r="L30" s="213">
        <f t="shared" si="0"/>
        <v>0</v>
      </c>
      <c r="M30" s="214">
        <f t="shared" si="1"/>
        <v>0</v>
      </c>
      <c r="N30" s="122">
        <f t="shared" si="2"/>
        <v>0</v>
      </c>
      <c r="O30" s="122">
        <f t="shared" si="3"/>
        <v>0</v>
      </c>
      <c r="P30" s="122">
        <f t="shared" si="9"/>
        <v>0</v>
      </c>
      <c r="Q30" s="122">
        <f t="shared" si="4"/>
        <v>0</v>
      </c>
      <c r="R30" s="122">
        <f t="shared" si="5"/>
        <v>0</v>
      </c>
      <c r="S30" s="122">
        <f t="shared" si="6"/>
        <v>0</v>
      </c>
      <c r="T30" s="122">
        <f t="shared" si="7"/>
        <v>0</v>
      </c>
      <c r="U30" s="122">
        <f t="shared" si="8"/>
        <v>0</v>
      </c>
      <c r="V30" s="30">
        <f t="shared" si="10"/>
        <v>0</v>
      </c>
      <c r="W30" s="30">
        <f t="shared" si="11"/>
        <v>0</v>
      </c>
      <c r="X30" s="30">
        <f t="shared" si="12"/>
        <v>0</v>
      </c>
      <c r="Y30" s="30">
        <f t="shared" si="12"/>
        <v>0</v>
      </c>
      <c r="Z30" s="2"/>
    </row>
    <row r="31" spans="1:26" ht="54.95" customHeight="1">
      <c r="A31" s="209">
        <v>28</v>
      </c>
      <c r="B31" s="232" t="s">
        <v>527</v>
      </c>
      <c r="C31" s="211">
        <v>2.5</v>
      </c>
      <c r="D31" s="212">
        <v>0</v>
      </c>
      <c r="E31" s="212">
        <v>1</v>
      </c>
      <c r="F31" s="212">
        <v>0</v>
      </c>
      <c r="G31" s="212">
        <v>0</v>
      </c>
      <c r="H31" s="212">
        <v>4</v>
      </c>
      <c r="I31" s="212">
        <v>4</v>
      </c>
      <c r="J31" s="213">
        <v>0</v>
      </c>
      <c r="K31" s="213">
        <v>0</v>
      </c>
      <c r="L31" s="213">
        <f t="shared" si="0"/>
        <v>0</v>
      </c>
      <c r="M31" s="214">
        <f t="shared" si="1"/>
        <v>0</v>
      </c>
      <c r="N31" s="122">
        <f t="shared" si="2"/>
        <v>0</v>
      </c>
      <c r="O31" s="122">
        <f t="shared" si="3"/>
        <v>0</v>
      </c>
      <c r="P31" s="122">
        <f t="shared" si="9"/>
        <v>0</v>
      </c>
      <c r="Q31" s="122">
        <f t="shared" si="4"/>
        <v>0</v>
      </c>
      <c r="R31" s="122">
        <f t="shared" si="5"/>
        <v>0</v>
      </c>
      <c r="S31" s="122">
        <f t="shared" si="6"/>
        <v>0</v>
      </c>
      <c r="T31" s="122">
        <f t="shared" si="7"/>
        <v>0</v>
      </c>
      <c r="U31" s="122">
        <f t="shared" si="8"/>
        <v>0</v>
      </c>
      <c r="V31" s="30">
        <f t="shared" si="10"/>
        <v>0</v>
      </c>
      <c r="W31" s="30">
        <f t="shared" si="11"/>
        <v>0</v>
      </c>
      <c r="X31" s="30">
        <f t="shared" si="12"/>
        <v>0</v>
      </c>
      <c r="Y31" s="30">
        <f t="shared" si="12"/>
        <v>0</v>
      </c>
      <c r="Z31" s="2"/>
    </row>
    <row r="32" spans="1:26" ht="54.95" customHeight="1">
      <c r="A32" s="209">
        <v>29</v>
      </c>
      <c r="B32" s="232" t="s">
        <v>528</v>
      </c>
      <c r="C32" s="211">
        <v>3</v>
      </c>
      <c r="D32" s="212">
        <v>0</v>
      </c>
      <c r="E32" s="212">
        <v>1</v>
      </c>
      <c r="F32" s="212">
        <v>0</v>
      </c>
      <c r="G32" s="212">
        <v>0</v>
      </c>
      <c r="H32" s="212">
        <v>4</v>
      </c>
      <c r="I32" s="212">
        <v>4</v>
      </c>
      <c r="J32" s="213">
        <v>0</v>
      </c>
      <c r="K32" s="213">
        <v>0</v>
      </c>
      <c r="L32" s="213">
        <f t="shared" si="0"/>
        <v>0</v>
      </c>
      <c r="M32" s="214">
        <f t="shared" si="1"/>
        <v>0</v>
      </c>
      <c r="N32" s="122">
        <f t="shared" si="2"/>
        <v>0</v>
      </c>
      <c r="O32" s="122">
        <f t="shared" si="3"/>
        <v>0</v>
      </c>
      <c r="P32" s="122">
        <f t="shared" si="9"/>
        <v>0</v>
      </c>
      <c r="Q32" s="122">
        <f t="shared" si="4"/>
        <v>0</v>
      </c>
      <c r="R32" s="122">
        <f t="shared" si="5"/>
        <v>0</v>
      </c>
      <c r="S32" s="122">
        <f t="shared" si="6"/>
        <v>0</v>
      </c>
      <c r="T32" s="122">
        <f t="shared" si="7"/>
        <v>0</v>
      </c>
      <c r="U32" s="122">
        <f t="shared" si="8"/>
        <v>0</v>
      </c>
      <c r="V32" s="30">
        <f t="shared" si="10"/>
        <v>0</v>
      </c>
      <c r="W32" s="30">
        <f t="shared" si="11"/>
        <v>0</v>
      </c>
      <c r="X32" s="30">
        <f t="shared" si="12"/>
        <v>0</v>
      </c>
      <c r="Y32" s="30">
        <f t="shared" si="12"/>
        <v>0</v>
      </c>
      <c r="Z32" s="2"/>
    </row>
    <row r="33" spans="1:26" ht="54.95" customHeight="1">
      <c r="A33" s="209">
        <v>30</v>
      </c>
      <c r="B33" s="232" t="s">
        <v>529</v>
      </c>
      <c r="C33" s="211">
        <v>4</v>
      </c>
      <c r="D33" s="212">
        <v>0</v>
      </c>
      <c r="E33" s="212">
        <v>1</v>
      </c>
      <c r="F33" s="212">
        <v>0</v>
      </c>
      <c r="G33" s="212">
        <v>1</v>
      </c>
      <c r="H33" s="212">
        <v>5</v>
      </c>
      <c r="I33" s="212">
        <v>4</v>
      </c>
      <c r="J33" s="213">
        <v>0</v>
      </c>
      <c r="K33" s="213">
        <v>0</v>
      </c>
      <c r="L33" s="213">
        <f t="shared" si="0"/>
        <v>0</v>
      </c>
      <c r="M33" s="214">
        <f t="shared" si="1"/>
        <v>0</v>
      </c>
      <c r="N33" s="122">
        <f t="shared" si="2"/>
        <v>0</v>
      </c>
      <c r="O33" s="122">
        <f t="shared" si="3"/>
        <v>0</v>
      </c>
      <c r="P33" s="122">
        <f t="shared" si="9"/>
        <v>0</v>
      </c>
      <c r="Q33" s="122">
        <f t="shared" si="4"/>
        <v>0</v>
      </c>
      <c r="R33" s="122">
        <f t="shared" si="5"/>
        <v>0</v>
      </c>
      <c r="S33" s="122">
        <f t="shared" si="6"/>
        <v>0</v>
      </c>
      <c r="T33" s="122">
        <f t="shared" si="7"/>
        <v>0</v>
      </c>
      <c r="U33" s="122">
        <f t="shared" si="8"/>
        <v>0</v>
      </c>
      <c r="V33" s="30">
        <f t="shared" si="10"/>
        <v>0</v>
      </c>
      <c r="W33" s="30">
        <f t="shared" si="11"/>
        <v>0</v>
      </c>
      <c r="X33" s="30">
        <f t="shared" si="12"/>
        <v>0</v>
      </c>
      <c r="Y33" s="30">
        <f t="shared" si="12"/>
        <v>0</v>
      </c>
      <c r="Z33" s="2"/>
    </row>
    <row r="34" spans="1:26" ht="54.95" customHeight="1">
      <c r="A34" s="209">
        <v>31</v>
      </c>
      <c r="B34" s="232" t="s">
        <v>530</v>
      </c>
      <c r="C34" s="211">
        <v>2</v>
      </c>
      <c r="D34" s="212">
        <v>0</v>
      </c>
      <c r="E34" s="212">
        <v>1</v>
      </c>
      <c r="F34" s="212">
        <v>0</v>
      </c>
      <c r="G34" s="212">
        <v>0</v>
      </c>
      <c r="H34" s="212">
        <v>1</v>
      </c>
      <c r="I34" s="212">
        <v>2</v>
      </c>
      <c r="J34" s="213">
        <v>0</v>
      </c>
      <c r="K34" s="213">
        <v>0</v>
      </c>
      <c r="L34" s="213">
        <f t="shared" si="0"/>
        <v>0</v>
      </c>
      <c r="M34" s="214">
        <f t="shared" si="1"/>
        <v>0</v>
      </c>
      <c r="N34" s="122">
        <f t="shared" si="2"/>
        <v>0</v>
      </c>
      <c r="O34" s="122">
        <f t="shared" si="3"/>
        <v>0</v>
      </c>
      <c r="P34" s="122">
        <f t="shared" si="9"/>
        <v>0</v>
      </c>
      <c r="Q34" s="122">
        <f t="shared" si="4"/>
        <v>0</v>
      </c>
      <c r="R34" s="122">
        <f t="shared" si="5"/>
        <v>0</v>
      </c>
      <c r="S34" s="122">
        <f t="shared" si="6"/>
        <v>0</v>
      </c>
      <c r="T34" s="122">
        <f t="shared" si="7"/>
        <v>0</v>
      </c>
      <c r="U34" s="122">
        <f t="shared" si="8"/>
        <v>0</v>
      </c>
      <c r="V34" s="30">
        <f t="shared" si="10"/>
        <v>0</v>
      </c>
      <c r="W34" s="30">
        <f t="shared" si="11"/>
        <v>0</v>
      </c>
      <c r="X34" s="30">
        <f t="shared" si="12"/>
        <v>0</v>
      </c>
      <c r="Y34" s="30">
        <f t="shared" si="12"/>
        <v>0</v>
      </c>
      <c r="Z34" s="2"/>
    </row>
    <row r="35" spans="1:26" ht="54.95" customHeight="1">
      <c r="A35" s="209">
        <v>32</v>
      </c>
      <c r="B35" s="232" t="s">
        <v>531</v>
      </c>
      <c r="C35" s="211">
        <v>12</v>
      </c>
      <c r="D35" s="212">
        <v>0</v>
      </c>
      <c r="E35" s="212">
        <v>1</v>
      </c>
      <c r="F35" s="212">
        <v>1</v>
      </c>
      <c r="G35" s="212">
        <v>1</v>
      </c>
      <c r="H35" s="212">
        <v>5</v>
      </c>
      <c r="I35" s="212">
        <v>4</v>
      </c>
      <c r="J35" s="213">
        <v>0</v>
      </c>
      <c r="K35" s="213">
        <v>0</v>
      </c>
      <c r="L35" s="213">
        <f t="shared" si="0"/>
        <v>0</v>
      </c>
      <c r="M35" s="214">
        <f t="shared" si="1"/>
        <v>0</v>
      </c>
      <c r="N35" s="122">
        <f t="shared" si="2"/>
        <v>0</v>
      </c>
      <c r="O35" s="122">
        <f t="shared" si="3"/>
        <v>0</v>
      </c>
      <c r="P35" s="122">
        <f t="shared" si="9"/>
        <v>0</v>
      </c>
      <c r="Q35" s="122">
        <f t="shared" si="4"/>
        <v>0</v>
      </c>
      <c r="R35" s="122">
        <f t="shared" si="5"/>
        <v>0</v>
      </c>
      <c r="S35" s="122">
        <f t="shared" si="6"/>
        <v>0</v>
      </c>
      <c r="T35" s="122">
        <f t="shared" si="7"/>
        <v>0</v>
      </c>
      <c r="U35" s="122">
        <f t="shared" si="8"/>
        <v>0</v>
      </c>
      <c r="V35" s="30">
        <f t="shared" si="10"/>
        <v>0</v>
      </c>
      <c r="W35" s="30">
        <f t="shared" si="11"/>
        <v>0</v>
      </c>
      <c r="X35" s="30">
        <f t="shared" si="12"/>
        <v>0</v>
      </c>
      <c r="Y35" s="30">
        <f t="shared" si="12"/>
        <v>0</v>
      </c>
      <c r="Z35" s="2"/>
    </row>
    <row r="36" spans="1:26" ht="54.95" customHeight="1">
      <c r="A36" s="209">
        <v>33</v>
      </c>
      <c r="B36" s="232" t="s">
        <v>532</v>
      </c>
      <c r="C36" s="211">
        <v>18</v>
      </c>
      <c r="D36" s="212">
        <v>0</v>
      </c>
      <c r="E36" s="212">
        <v>1</v>
      </c>
      <c r="F36" s="212">
        <v>1</v>
      </c>
      <c r="G36" s="212">
        <v>1</v>
      </c>
      <c r="H36" s="212">
        <v>5</v>
      </c>
      <c r="I36" s="212">
        <v>4</v>
      </c>
      <c r="J36" s="213">
        <v>0</v>
      </c>
      <c r="K36" s="213">
        <v>0</v>
      </c>
      <c r="L36" s="213">
        <f t="shared" si="0"/>
        <v>0</v>
      </c>
      <c r="M36" s="214">
        <f t="shared" si="1"/>
        <v>0</v>
      </c>
      <c r="N36" s="122">
        <f t="shared" si="2"/>
        <v>0</v>
      </c>
      <c r="O36" s="122">
        <f t="shared" si="3"/>
        <v>0</v>
      </c>
      <c r="P36" s="122">
        <f t="shared" si="9"/>
        <v>0</v>
      </c>
      <c r="Q36" s="122">
        <f t="shared" si="4"/>
        <v>0</v>
      </c>
      <c r="R36" s="122">
        <f t="shared" si="5"/>
        <v>0</v>
      </c>
      <c r="S36" s="122">
        <f t="shared" si="6"/>
        <v>0</v>
      </c>
      <c r="T36" s="122">
        <f t="shared" si="7"/>
        <v>0</v>
      </c>
      <c r="U36" s="122">
        <f t="shared" si="8"/>
        <v>0</v>
      </c>
      <c r="V36" s="30">
        <f t="shared" si="10"/>
        <v>0</v>
      </c>
      <c r="W36" s="30">
        <f t="shared" si="11"/>
        <v>0</v>
      </c>
      <c r="X36" s="30">
        <f t="shared" si="12"/>
        <v>0</v>
      </c>
      <c r="Y36" s="30">
        <f t="shared" si="12"/>
        <v>0</v>
      </c>
      <c r="Z36" s="2"/>
    </row>
    <row r="37" spans="1:26" ht="54.95" customHeight="1">
      <c r="A37" s="209">
        <v>34</v>
      </c>
      <c r="B37" s="232" t="s">
        <v>533</v>
      </c>
      <c r="C37" s="211">
        <v>24</v>
      </c>
      <c r="D37" s="212">
        <v>0</v>
      </c>
      <c r="E37" s="212">
        <v>1</v>
      </c>
      <c r="F37" s="212">
        <v>1</v>
      </c>
      <c r="G37" s="212">
        <v>1</v>
      </c>
      <c r="H37" s="212">
        <v>5</v>
      </c>
      <c r="I37" s="212">
        <v>4</v>
      </c>
      <c r="J37" s="213">
        <v>0</v>
      </c>
      <c r="K37" s="213">
        <v>0</v>
      </c>
      <c r="L37" s="213">
        <f t="shared" si="0"/>
        <v>0</v>
      </c>
      <c r="M37" s="214">
        <f t="shared" si="1"/>
        <v>0</v>
      </c>
      <c r="N37" s="122">
        <f t="shared" si="2"/>
        <v>0</v>
      </c>
      <c r="O37" s="122">
        <f t="shared" si="3"/>
        <v>0</v>
      </c>
      <c r="P37" s="122">
        <f t="shared" si="9"/>
        <v>0</v>
      </c>
      <c r="Q37" s="122">
        <f t="shared" si="4"/>
        <v>0</v>
      </c>
      <c r="R37" s="122">
        <f t="shared" si="5"/>
        <v>0</v>
      </c>
      <c r="S37" s="122">
        <f t="shared" si="6"/>
        <v>0</v>
      </c>
      <c r="T37" s="122">
        <f t="shared" si="7"/>
        <v>0</v>
      </c>
      <c r="U37" s="122">
        <f t="shared" si="8"/>
        <v>0</v>
      </c>
      <c r="V37" s="30">
        <f t="shared" si="10"/>
        <v>0</v>
      </c>
      <c r="W37" s="30">
        <f t="shared" si="11"/>
        <v>0</v>
      </c>
      <c r="X37" s="30">
        <f t="shared" si="12"/>
        <v>0</v>
      </c>
      <c r="Y37" s="30">
        <f t="shared" si="12"/>
        <v>0</v>
      </c>
      <c r="Z37" s="2"/>
    </row>
    <row r="38" spans="1:26" ht="54.95" customHeight="1">
      <c r="A38" s="209">
        <v>35</v>
      </c>
      <c r="B38" s="232" t="s">
        <v>534</v>
      </c>
      <c r="C38" s="211">
        <v>6</v>
      </c>
      <c r="D38" s="212">
        <v>0</v>
      </c>
      <c r="E38" s="212">
        <v>1</v>
      </c>
      <c r="F38" s="212">
        <v>0</v>
      </c>
      <c r="G38" s="212">
        <v>1</v>
      </c>
      <c r="H38" s="212">
        <v>4</v>
      </c>
      <c r="I38" s="212">
        <v>4</v>
      </c>
      <c r="J38" s="213">
        <v>0</v>
      </c>
      <c r="K38" s="213">
        <v>0</v>
      </c>
      <c r="L38" s="213">
        <f t="shared" si="0"/>
        <v>0</v>
      </c>
      <c r="M38" s="214">
        <f t="shared" si="1"/>
        <v>0</v>
      </c>
      <c r="N38" s="122">
        <f t="shared" si="2"/>
        <v>0</v>
      </c>
      <c r="O38" s="122">
        <f t="shared" si="3"/>
        <v>0</v>
      </c>
      <c r="P38" s="122">
        <f t="shared" si="9"/>
        <v>0</v>
      </c>
      <c r="Q38" s="122">
        <f t="shared" si="4"/>
        <v>0</v>
      </c>
      <c r="R38" s="122">
        <f t="shared" si="5"/>
        <v>0</v>
      </c>
      <c r="S38" s="122">
        <f t="shared" si="6"/>
        <v>0</v>
      </c>
      <c r="T38" s="122">
        <f t="shared" si="7"/>
        <v>0</v>
      </c>
      <c r="U38" s="122">
        <f t="shared" si="8"/>
        <v>0</v>
      </c>
      <c r="V38" s="30">
        <f t="shared" si="10"/>
        <v>0</v>
      </c>
      <c r="W38" s="30">
        <f t="shared" si="11"/>
        <v>0</v>
      </c>
      <c r="X38" s="30">
        <f t="shared" si="12"/>
        <v>0</v>
      </c>
      <c r="Y38" s="30">
        <f t="shared" si="12"/>
        <v>0</v>
      </c>
      <c r="Z38" s="2"/>
    </row>
    <row r="39" spans="1:26" ht="54.95" customHeight="1">
      <c r="A39" s="209">
        <v>36</v>
      </c>
      <c r="B39" s="232" t="s">
        <v>535</v>
      </c>
      <c r="C39" s="211">
        <v>12</v>
      </c>
      <c r="D39" s="212">
        <v>0</v>
      </c>
      <c r="E39" s="212">
        <v>1</v>
      </c>
      <c r="F39" s="212">
        <v>0</v>
      </c>
      <c r="G39" s="212">
        <v>1</v>
      </c>
      <c r="H39" s="212">
        <v>5</v>
      </c>
      <c r="I39" s="212">
        <v>4</v>
      </c>
      <c r="J39" s="213">
        <v>0</v>
      </c>
      <c r="K39" s="213">
        <v>0</v>
      </c>
      <c r="L39" s="213">
        <f t="shared" si="0"/>
        <v>0</v>
      </c>
      <c r="M39" s="214">
        <f t="shared" si="1"/>
        <v>0</v>
      </c>
      <c r="N39" s="122">
        <f t="shared" si="2"/>
        <v>0</v>
      </c>
      <c r="O39" s="122">
        <f t="shared" si="3"/>
        <v>0</v>
      </c>
      <c r="P39" s="122">
        <f t="shared" si="9"/>
        <v>0</v>
      </c>
      <c r="Q39" s="122">
        <f t="shared" si="4"/>
        <v>0</v>
      </c>
      <c r="R39" s="122">
        <f t="shared" si="5"/>
        <v>0</v>
      </c>
      <c r="S39" s="122">
        <f t="shared" si="6"/>
        <v>0</v>
      </c>
      <c r="T39" s="122">
        <f t="shared" si="7"/>
        <v>0</v>
      </c>
      <c r="U39" s="122">
        <f t="shared" si="8"/>
        <v>0</v>
      </c>
      <c r="V39" s="30">
        <f t="shared" si="10"/>
        <v>0</v>
      </c>
      <c r="W39" s="30">
        <f t="shared" si="11"/>
        <v>0</v>
      </c>
      <c r="X39" s="30">
        <f t="shared" si="12"/>
        <v>0</v>
      </c>
      <c r="Y39" s="30">
        <f t="shared" si="12"/>
        <v>0</v>
      </c>
      <c r="Z39" s="2"/>
    </row>
    <row r="40" spans="1:26" ht="54.95" customHeight="1">
      <c r="A40" s="209">
        <v>37</v>
      </c>
      <c r="B40" s="232" t="s">
        <v>536</v>
      </c>
      <c r="C40" s="211">
        <v>18</v>
      </c>
      <c r="D40" s="212">
        <v>0</v>
      </c>
      <c r="E40" s="212">
        <v>1</v>
      </c>
      <c r="F40" s="212">
        <v>0</v>
      </c>
      <c r="G40" s="212">
        <v>1</v>
      </c>
      <c r="H40" s="212">
        <v>5</v>
      </c>
      <c r="I40" s="212">
        <v>4</v>
      </c>
      <c r="J40" s="213">
        <v>0</v>
      </c>
      <c r="K40" s="213">
        <v>0</v>
      </c>
      <c r="L40" s="213">
        <f t="shared" si="0"/>
        <v>0</v>
      </c>
      <c r="M40" s="214">
        <f t="shared" si="1"/>
        <v>0</v>
      </c>
      <c r="N40" s="122">
        <f t="shared" si="2"/>
        <v>0</v>
      </c>
      <c r="O40" s="122">
        <f t="shared" si="3"/>
        <v>0</v>
      </c>
      <c r="P40" s="122">
        <f t="shared" si="9"/>
        <v>0</v>
      </c>
      <c r="Q40" s="122">
        <f t="shared" si="4"/>
        <v>0</v>
      </c>
      <c r="R40" s="122">
        <f t="shared" si="5"/>
        <v>0</v>
      </c>
      <c r="S40" s="122">
        <f t="shared" si="6"/>
        <v>0</v>
      </c>
      <c r="T40" s="122">
        <f t="shared" si="7"/>
        <v>0</v>
      </c>
      <c r="U40" s="122">
        <f t="shared" si="8"/>
        <v>0</v>
      </c>
      <c r="V40" s="30">
        <f t="shared" si="10"/>
        <v>0</v>
      </c>
      <c r="W40" s="30">
        <f t="shared" si="11"/>
        <v>0</v>
      </c>
      <c r="X40" s="30">
        <f t="shared" si="12"/>
        <v>0</v>
      </c>
      <c r="Y40" s="30">
        <f t="shared" si="12"/>
        <v>0</v>
      </c>
      <c r="Z40" s="2"/>
    </row>
    <row r="41" spans="1:26" ht="54.95" customHeight="1">
      <c r="A41" s="209">
        <v>38</v>
      </c>
      <c r="B41" s="232" t="s">
        <v>537</v>
      </c>
      <c r="C41" s="211">
        <v>12</v>
      </c>
      <c r="D41" s="212">
        <v>0</v>
      </c>
      <c r="E41" s="212">
        <v>1</v>
      </c>
      <c r="F41" s="212">
        <v>1</v>
      </c>
      <c r="G41" s="212">
        <v>1</v>
      </c>
      <c r="H41" s="212">
        <v>5</v>
      </c>
      <c r="I41" s="212">
        <v>4</v>
      </c>
      <c r="J41" s="213">
        <v>0</v>
      </c>
      <c r="K41" s="213">
        <v>0</v>
      </c>
      <c r="L41" s="213">
        <f t="shared" si="0"/>
        <v>0</v>
      </c>
      <c r="M41" s="214">
        <f t="shared" si="1"/>
        <v>0</v>
      </c>
      <c r="N41" s="122">
        <f t="shared" si="2"/>
        <v>0</v>
      </c>
      <c r="O41" s="122">
        <f t="shared" si="3"/>
        <v>0</v>
      </c>
      <c r="P41" s="122">
        <f t="shared" si="9"/>
        <v>0</v>
      </c>
      <c r="Q41" s="122">
        <f t="shared" si="4"/>
        <v>0</v>
      </c>
      <c r="R41" s="122">
        <f t="shared" si="5"/>
        <v>0</v>
      </c>
      <c r="S41" s="122">
        <f t="shared" si="6"/>
        <v>0</v>
      </c>
      <c r="T41" s="122">
        <f t="shared" si="7"/>
        <v>0</v>
      </c>
      <c r="U41" s="122">
        <f t="shared" si="8"/>
        <v>0</v>
      </c>
      <c r="V41" s="30">
        <f t="shared" si="10"/>
        <v>0</v>
      </c>
      <c r="W41" s="30">
        <f t="shared" si="11"/>
        <v>0</v>
      </c>
      <c r="X41" s="30">
        <f t="shared" si="12"/>
        <v>0</v>
      </c>
      <c r="Y41" s="30">
        <f t="shared" si="12"/>
        <v>0</v>
      </c>
      <c r="Z41" s="2"/>
    </row>
    <row r="42" spans="1:26" ht="54.95" customHeight="1">
      <c r="A42" s="209">
        <v>39</v>
      </c>
      <c r="B42" s="232" t="s">
        <v>538</v>
      </c>
      <c r="C42" s="211">
        <v>18</v>
      </c>
      <c r="D42" s="212">
        <v>0</v>
      </c>
      <c r="E42" s="212">
        <v>1</v>
      </c>
      <c r="F42" s="212">
        <v>1</v>
      </c>
      <c r="G42" s="212">
        <v>1</v>
      </c>
      <c r="H42" s="212">
        <v>5</v>
      </c>
      <c r="I42" s="212">
        <v>4</v>
      </c>
      <c r="J42" s="213">
        <v>0</v>
      </c>
      <c r="K42" s="213">
        <v>0</v>
      </c>
      <c r="L42" s="213">
        <f t="shared" si="0"/>
        <v>0</v>
      </c>
      <c r="M42" s="214">
        <f t="shared" si="1"/>
        <v>0</v>
      </c>
      <c r="N42" s="122">
        <f t="shared" si="2"/>
        <v>0</v>
      </c>
      <c r="O42" s="122">
        <f t="shared" si="3"/>
        <v>0</v>
      </c>
      <c r="P42" s="122">
        <f t="shared" si="9"/>
        <v>0</v>
      </c>
      <c r="Q42" s="122">
        <f t="shared" si="4"/>
        <v>0</v>
      </c>
      <c r="R42" s="122">
        <f t="shared" si="5"/>
        <v>0</v>
      </c>
      <c r="S42" s="122">
        <f t="shared" si="6"/>
        <v>0</v>
      </c>
      <c r="T42" s="122">
        <f t="shared" si="7"/>
        <v>0</v>
      </c>
      <c r="U42" s="122">
        <f t="shared" si="8"/>
        <v>0</v>
      </c>
      <c r="V42" s="30">
        <f t="shared" si="10"/>
        <v>0</v>
      </c>
      <c r="W42" s="30">
        <f t="shared" si="11"/>
        <v>0</v>
      </c>
      <c r="X42" s="30">
        <f t="shared" si="12"/>
        <v>0</v>
      </c>
      <c r="Y42" s="30">
        <f t="shared" si="12"/>
        <v>0</v>
      </c>
      <c r="Z42" s="2"/>
    </row>
    <row r="43" spans="1:26" ht="54.95" customHeight="1">
      <c r="A43" s="209">
        <v>40</v>
      </c>
      <c r="B43" s="232" t="s">
        <v>539</v>
      </c>
      <c r="C43" s="211">
        <v>24</v>
      </c>
      <c r="D43" s="212">
        <v>0</v>
      </c>
      <c r="E43" s="212">
        <v>1</v>
      </c>
      <c r="F43" s="212">
        <v>1</v>
      </c>
      <c r="G43" s="212">
        <v>1</v>
      </c>
      <c r="H43" s="212">
        <v>5</v>
      </c>
      <c r="I43" s="212">
        <v>4</v>
      </c>
      <c r="J43" s="213">
        <v>0</v>
      </c>
      <c r="K43" s="213">
        <v>0</v>
      </c>
      <c r="L43" s="213">
        <f t="shared" si="0"/>
        <v>0</v>
      </c>
      <c r="M43" s="214">
        <f t="shared" si="1"/>
        <v>0</v>
      </c>
      <c r="N43" s="122">
        <f t="shared" si="2"/>
        <v>0</v>
      </c>
      <c r="O43" s="122">
        <f t="shared" si="3"/>
        <v>0</v>
      </c>
      <c r="P43" s="122">
        <f t="shared" si="9"/>
        <v>0</v>
      </c>
      <c r="Q43" s="122">
        <f t="shared" si="4"/>
        <v>0</v>
      </c>
      <c r="R43" s="122">
        <f t="shared" si="5"/>
        <v>0</v>
      </c>
      <c r="S43" s="122">
        <f t="shared" si="6"/>
        <v>0</v>
      </c>
      <c r="T43" s="122">
        <f t="shared" si="7"/>
        <v>0</v>
      </c>
      <c r="U43" s="122">
        <f t="shared" si="8"/>
        <v>0</v>
      </c>
      <c r="V43" s="30">
        <f t="shared" si="10"/>
        <v>0</v>
      </c>
      <c r="W43" s="30">
        <f t="shared" si="11"/>
        <v>0</v>
      </c>
      <c r="X43" s="30">
        <f t="shared" si="12"/>
        <v>0</v>
      </c>
      <c r="Y43" s="30">
        <f t="shared" si="12"/>
        <v>0</v>
      </c>
      <c r="Z43" s="2"/>
    </row>
    <row r="44" spans="1:26" ht="54.95" customHeight="1">
      <c r="A44" s="209">
        <v>41</v>
      </c>
      <c r="B44" s="232" t="s">
        <v>540</v>
      </c>
      <c r="C44" s="211">
        <v>6</v>
      </c>
      <c r="D44" s="212">
        <v>0</v>
      </c>
      <c r="E44" s="212">
        <v>1</v>
      </c>
      <c r="F44" s="212">
        <v>0</v>
      </c>
      <c r="G44" s="212">
        <v>1</v>
      </c>
      <c r="H44" s="212">
        <v>4</v>
      </c>
      <c r="I44" s="212">
        <v>4</v>
      </c>
      <c r="J44" s="213">
        <v>0</v>
      </c>
      <c r="K44" s="213">
        <v>0</v>
      </c>
      <c r="L44" s="213">
        <f t="shared" si="0"/>
        <v>0</v>
      </c>
      <c r="M44" s="214">
        <f t="shared" si="1"/>
        <v>0</v>
      </c>
      <c r="N44" s="122">
        <f t="shared" si="2"/>
        <v>0</v>
      </c>
      <c r="O44" s="122">
        <f t="shared" si="3"/>
        <v>0</v>
      </c>
      <c r="P44" s="122">
        <f t="shared" si="9"/>
        <v>0</v>
      </c>
      <c r="Q44" s="122">
        <f t="shared" si="4"/>
        <v>0</v>
      </c>
      <c r="R44" s="122">
        <f t="shared" si="5"/>
        <v>0</v>
      </c>
      <c r="S44" s="122">
        <f t="shared" si="6"/>
        <v>0</v>
      </c>
      <c r="T44" s="122">
        <f t="shared" si="7"/>
        <v>0</v>
      </c>
      <c r="U44" s="122">
        <f t="shared" si="8"/>
        <v>0</v>
      </c>
      <c r="V44" s="30">
        <f t="shared" si="10"/>
        <v>0</v>
      </c>
      <c r="W44" s="30">
        <f t="shared" si="11"/>
        <v>0</v>
      </c>
      <c r="X44" s="30">
        <f t="shared" si="12"/>
        <v>0</v>
      </c>
      <c r="Y44" s="30">
        <f t="shared" si="12"/>
        <v>0</v>
      </c>
      <c r="Z44" s="2"/>
    </row>
    <row r="45" spans="1:26" ht="54.95" customHeight="1">
      <c r="A45" s="209">
        <v>42</v>
      </c>
      <c r="B45" s="232" t="s">
        <v>541</v>
      </c>
      <c r="C45" s="211">
        <v>12</v>
      </c>
      <c r="D45" s="212">
        <v>0</v>
      </c>
      <c r="E45" s="212">
        <v>1</v>
      </c>
      <c r="F45" s="212">
        <v>0</v>
      </c>
      <c r="G45" s="212">
        <v>1</v>
      </c>
      <c r="H45" s="212">
        <v>5</v>
      </c>
      <c r="I45" s="212">
        <v>4</v>
      </c>
      <c r="J45" s="213">
        <v>0</v>
      </c>
      <c r="K45" s="213">
        <v>0</v>
      </c>
      <c r="L45" s="213">
        <f t="shared" si="0"/>
        <v>0</v>
      </c>
      <c r="M45" s="214">
        <f t="shared" si="1"/>
        <v>0</v>
      </c>
      <c r="N45" s="122">
        <f t="shared" si="2"/>
        <v>0</v>
      </c>
      <c r="O45" s="122">
        <f t="shared" si="3"/>
        <v>0</v>
      </c>
      <c r="P45" s="122">
        <f t="shared" si="9"/>
        <v>0</v>
      </c>
      <c r="Q45" s="122">
        <f t="shared" si="4"/>
        <v>0</v>
      </c>
      <c r="R45" s="122">
        <f t="shared" si="5"/>
        <v>0</v>
      </c>
      <c r="S45" s="122">
        <f t="shared" si="6"/>
        <v>0</v>
      </c>
      <c r="T45" s="122">
        <f t="shared" si="7"/>
        <v>0</v>
      </c>
      <c r="U45" s="122">
        <f t="shared" si="8"/>
        <v>0</v>
      </c>
      <c r="V45" s="30">
        <f t="shared" si="10"/>
        <v>0</v>
      </c>
      <c r="W45" s="30">
        <f t="shared" si="11"/>
        <v>0</v>
      </c>
      <c r="X45" s="30">
        <f t="shared" si="12"/>
        <v>0</v>
      </c>
      <c r="Y45" s="30">
        <f t="shared" si="12"/>
        <v>0</v>
      </c>
      <c r="Z45" s="2"/>
    </row>
    <row r="46" spans="1:26" ht="54.95" customHeight="1">
      <c r="A46" s="209">
        <v>43</v>
      </c>
      <c r="B46" s="232" t="s">
        <v>542</v>
      </c>
      <c r="C46" s="211">
        <v>18</v>
      </c>
      <c r="D46" s="212">
        <v>0</v>
      </c>
      <c r="E46" s="212">
        <v>1</v>
      </c>
      <c r="F46" s="212">
        <v>1</v>
      </c>
      <c r="G46" s="212">
        <v>1</v>
      </c>
      <c r="H46" s="212">
        <v>5</v>
      </c>
      <c r="I46" s="212">
        <v>4</v>
      </c>
      <c r="J46" s="213">
        <v>0</v>
      </c>
      <c r="K46" s="213">
        <v>0</v>
      </c>
      <c r="L46" s="213">
        <f t="shared" si="0"/>
        <v>0</v>
      </c>
      <c r="M46" s="214">
        <f t="shared" si="1"/>
        <v>0</v>
      </c>
      <c r="N46" s="122">
        <f t="shared" si="2"/>
        <v>0</v>
      </c>
      <c r="O46" s="122">
        <f t="shared" si="3"/>
        <v>0</v>
      </c>
      <c r="P46" s="122">
        <f t="shared" si="9"/>
        <v>0</v>
      </c>
      <c r="Q46" s="122">
        <f t="shared" si="4"/>
        <v>0</v>
      </c>
      <c r="R46" s="122">
        <f t="shared" si="5"/>
        <v>0</v>
      </c>
      <c r="S46" s="122">
        <f t="shared" si="6"/>
        <v>0</v>
      </c>
      <c r="T46" s="122">
        <f t="shared" si="7"/>
        <v>0</v>
      </c>
      <c r="U46" s="122">
        <f t="shared" si="8"/>
        <v>0</v>
      </c>
      <c r="V46" s="30">
        <f t="shared" si="10"/>
        <v>0</v>
      </c>
      <c r="W46" s="30">
        <f t="shared" si="11"/>
        <v>0</v>
      </c>
      <c r="X46" s="30">
        <f t="shared" si="12"/>
        <v>0</v>
      </c>
      <c r="Y46" s="30">
        <f t="shared" si="12"/>
        <v>0</v>
      </c>
      <c r="Z46" s="2"/>
    </row>
    <row r="47" spans="1:26" ht="54.95" customHeight="1">
      <c r="A47" s="209">
        <v>44</v>
      </c>
      <c r="B47" s="232" t="s">
        <v>543</v>
      </c>
      <c r="C47" s="211">
        <v>24</v>
      </c>
      <c r="D47" s="212">
        <v>0</v>
      </c>
      <c r="E47" s="212">
        <v>1</v>
      </c>
      <c r="F47" s="212">
        <v>1</v>
      </c>
      <c r="G47" s="212">
        <v>1</v>
      </c>
      <c r="H47" s="212">
        <v>5</v>
      </c>
      <c r="I47" s="212">
        <v>4</v>
      </c>
      <c r="J47" s="213">
        <v>0</v>
      </c>
      <c r="K47" s="213">
        <v>0</v>
      </c>
      <c r="L47" s="213">
        <f t="shared" si="0"/>
        <v>0</v>
      </c>
      <c r="M47" s="214">
        <f t="shared" si="1"/>
        <v>0</v>
      </c>
      <c r="N47" s="122">
        <f t="shared" si="2"/>
        <v>0</v>
      </c>
      <c r="O47" s="122">
        <f t="shared" si="3"/>
        <v>0</v>
      </c>
      <c r="P47" s="122">
        <f t="shared" si="9"/>
        <v>0</v>
      </c>
      <c r="Q47" s="122">
        <f t="shared" si="4"/>
        <v>0</v>
      </c>
      <c r="R47" s="122">
        <f t="shared" si="5"/>
        <v>0</v>
      </c>
      <c r="S47" s="122">
        <f t="shared" si="6"/>
        <v>0</v>
      </c>
      <c r="T47" s="122">
        <f t="shared" si="7"/>
        <v>0</v>
      </c>
      <c r="U47" s="122">
        <f t="shared" si="8"/>
        <v>0</v>
      </c>
      <c r="V47" s="30">
        <f t="shared" si="10"/>
        <v>0</v>
      </c>
      <c r="W47" s="30">
        <f t="shared" si="11"/>
        <v>0</v>
      </c>
      <c r="X47" s="30">
        <f t="shared" si="12"/>
        <v>0</v>
      </c>
      <c r="Y47" s="30">
        <f t="shared" si="12"/>
        <v>0</v>
      </c>
      <c r="Z47" s="2"/>
    </row>
    <row r="48" spans="1:26" ht="54.95" customHeight="1">
      <c r="A48" s="209">
        <v>45</v>
      </c>
      <c r="B48" s="232" t="s">
        <v>544</v>
      </c>
      <c r="C48" s="211">
        <v>18</v>
      </c>
      <c r="D48" s="212">
        <v>0</v>
      </c>
      <c r="E48" s="212">
        <v>1</v>
      </c>
      <c r="F48" s="212">
        <v>1</v>
      </c>
      <c r="G48" s="212">
        <v>1</v>
      </c>
      <c r="H48" s="212">
        <v>5</v>
      </c>
      <c r="I48" s="212">
        <v>4</v>
      </c>
      <c r="J48" s="213">
        <v>0</v>
      </c>
      <c r="K48" s="213">
        <v>0</v>
      </c>
      <c r="L48" s="213">
        <f t="shared" si="0"/>
        <v>0</v>
      </c>
      <c r="M48" s="214">
        <f t="shared" si="1"/>
        <v>0</v>
      </c>
      <c r="N48" s="122">
        <f t="shared" si="2"/>
        <v>0</v>
      </c>
      <c r="O48" s="122">
        <f t="shared" si="3"/>
        <v>0</v>
      </c>
      <c r="P48" s="122">
        <f t="shared" si="9"/>
        <v>0</v>
      </c>
      <c r="Q48" s="122">
        <f t="shared" si="4"/>
        <v>0</v>
      </c>
      <c r="R48" s="122">
        <f t="shared" si="5"/>
        <v>0</v>
      </c>
      <c r="S48" s="122">
        <f t="shared" si="6"/>
        <v>0</v>
      </c>
      <c r="T48" s="122">
        <f t="shared" si="7"/>
        <v>0</v>
      </c>
      <c r="U48" s="122">
        <f t="shared" si="8"/>
        <v>0</v>
      </c>
      <c r="V48" s="30">
        <f t="shared" si="10"/>
        <v>0</v>
      </c>
      <c r="W48" s="30">
        <f t="shared" si="11"/>
        <v>0</v>
      </c>
      <c r="X48" s="30">
        <f t="shared" si="12"/>
        <v>0</v>
      </c>
      <c r="Y48" s="30">
        <f t="shared" si="12"/>
        <v>0</v>
      </c>
      <c r="Z48" s="2"/>
    </row>
    <row r="49" spans="1:26" ht="54.95" customHeight="1">
      <c r="A49" s="209">
        <v>46</v>
      </c>
      <c r="B49" s="232" t="s">
        <v>545</v>
      </c>
      <c r="C49" s="211">
        <v>12</v>
      </c>
      <c r="D49" s="212">
        <v>0</v>
      </c>
      <c r="E49" s="212">
        <v>1</v>
      </c>
      <c r="F49" s="212">
        <v>0</v>
      </c>
      <c r="G49" s="212">
        <v>1</v>
      </c>
      <c r="H49" s="212">
        <v>4</v>
      </c>
      <c r="I49" s="212">
        <v>4</v>
      </c>
      <c r="J49" s="213">
        <v>0</v>
      </c>
      <c r="K49" s="213">
        <v>0</v>
      </c>
      <c r="L49" s="213">
        <f t="shared" si="0"/>
        <v>0</v>
      </c>
      <c r="M49" s="214">
        <f t="shared" si="1"/>
        <v>0</v>
      </c>
      <c r="N49" s="122">
        <f t="shared" si="2"/>
        <v>0</v>
      </c>
      <c r="O49" s="122">
        <f t="shared" si="3"/>
        <v>0</v>
      </c>
      <c r="P49" s="122">
        <f t="shared" si="9"/>
        <v>0</v>
      </c>
      <c r="Q49" s="122">
        <f t="shared" si="4"/>
        <v>0</v>
      </c>
      <c r="R49" s="122">
        <f t="shared" si="5"/>
        <v>0</v>
      </c>
      <c r="S49" s="122">
        <f t="shared" si="6"/>
        <v>0</v>
      </c>
      <c r="T49" s="122">
        <f t="shared" si="7"/>
        <v>0</v>
      </c>
      <c r="U49" s="122">
        <f t="shared" si="8"/>
        <v>0</v>
      </c>
      <c r="V49" s="30">
        <f t="shared" si="10"/>
        <v>0</v>
      </c>
      <c r="W49" s="30">
        <f t="shared" si="11"/>
        <v>0</v>
      </c>
      <c r="X49" s="30">
        <f t="shared" si="12"/>
        <v>0</v>
      </c>
      <c r="Y49" s="30">
        <f t="shared" si="12"/>
        <v>0</v>
      </c>
      <c r="Z49" s="2"/>
    </row>
    <row r="50" spans="1:26" ht="54.95" customHeight="1">
      <c r="A50" s="209">
        <v>47</v>
      </c>
      <c r="B50" s="232" t="s">
        <v>546</v>
      </c>
      <c r="C50" s="211">
        <v>6</v>
      </c>
      <c r="D50" s="212">
        <v>0</v>
      </c>
      <c r="E50" s="212">
        <v>1</v>
      </c>
      <c r="F50" s="212">
        <v>0</v>
      </c>
      <c r="G50" s="212">
        <v>1</v>
      </c>
      <c r="H50" s="212">
        <v>4</v>
      </c>
      <c r="I50" s="212">
        <v>4</v>
      </c>
      <c r="J50" s="213">
        <v>0</v>
      </c>
      <c r="K50" s="213">
        <v>0</v>
      </c>
      <c r="L50" s="213">
        <f t="shared" si="0"/>
        <v>0</v>
      </c>
      <c r="M50" s="214">
        <f t="shared" si="1"/>
        <v>0</v>
      </c>
      <c r="N50" s="122">
        <f t="shared" si="2"/>
        <v>0</v>
      </c>
      <c r="O50" s="122">
        <f t="shared" si="3"/>
        <v>0</v>
      </c>
      <c r="P50" s="122">
        <f t="shared" si="9"/>
        <v>0</v>
      </c>
      <c r="Q50" s="122">
        <f t="shared" si="4"/>
        <v>0</v>
      </c>
      <c r="R50" s="122">
        <f t="shared" si="5"/>
        <v>0</v>
      </c>
      <c r="S50" s="122">
        <f t="shared" si="6"/>
        <v>0</v>
      </c>
      <c r="T50" s="122">
        <f t="shared" si="7"/>
        <v>0</v>
      </c>
      <c r="U50" s="122">
        <f t="shared" si="8"/>
        <v>0</v>
      </c>
      <c r="V50" s="30">
        <f t="shared" si="10"/>
        <v>0</v>
      </c>
      <c r="W50" s="30">
        <f t="shared" si="11"/>
        <v>0</v>
      </c>
      <c r="X50" s="30">
        <f t="shared" si="12"/>
        <v>0</v>
      </c>
      <c r="Y50" s="30">
        <f t="shared" si="12"/>
        <v>0</v>
      </c>
      <c r="Z50" s="2"/>
    </row>
    <row r="51" spans="1:26" ht="54.95" customHeight="1">
      <c r="A51" s="209">
        <v>48</v>
      </c>
      <c r="B51" s="232" t="s">
        <v>547</v>
      </c>
      <c r="C51" s="211">
        <v>6</v>
      </c>
      <c r="D51" s="212">
        <v>0</v>
      </c>
      <c r="E51" s="212">
        <v>1</v>
      </c>
      <c r="F51" s="212">
        <v>0</v>
      </c>
      <c r="G51" s="212">
        <v>1</v>
      </c>
      <c r="H51" s="212">
        <v>4</v>
      </c>
      <c r="I51" s="212">
        <v>3</v>
      </c>
      <c r="J51" s="213">
        <v>0</v>
      </c>
      <c r="K51" s="213">
        <v>0</v>
      </c>
      <c r="L51" s="213">
        <f t="shared" si="0"/>
        <v>0</v>
      </c>
      <c r="M51" s="214">
        <f t="shared" si="1"/>
        <v>0</v>
      </c>
      <c r="N51" s="122">
        <f t="shared" si="2"/>
        <v>0</v>
      </c>
      <c r="O51" s="122">
        <f t="shared" si="3"/>
        <v>0</v>
      </c>
      <c r="P51" s="122">
        <f t="shared" si="9"/>
        <v>0</v>
      </c>
      <c r="Q51" s="122">
        <f t="shared" si="4"/>
        <v>0</v>
      </c>
      <c r="R51" s="122">
        <f t="shared" si="5"/>
        <v>0</v>
      </c>
      <c r="S51" s="122">
        <f t="shared" si="6"/>
        <v>0</v>
      </c>
      <c r="T51" s="122">
        <f t="shared" si="7"/>
        <v>0</v>
      </c>
      <c r="U51" s="122">
        <f t="shared" si="8"/>
        <v>0</v>
      </c>
      <c r="V51" s="30">
        <f t="shared" si="10"/>
        <v>0</v>
      </c>
      <c r="W51" s="30">
        <f t="shared" si="11"/>
        <v>0</v>
      </c>
      <c r="X51" s="30">
        <f t="shared" si="12"/>
        <v>0</v>
      </c>
      <c r="Y51" s="30">
        <f t="shared" si="12"/>
        <v>0</v>
      </c>
      <c r="Z51" s="2"/>
    </row>
    <row r="52" spans="1:26" ht="54.95" customHeight="1">
      <c r="A52" s="209">
        <v>49</v>
      </c>
      <c r="B52" s="232" t="s">
        <v>548</v>
      </c>
      <c r="C52" s="211">
        <v>24</v>
      </c>
      <c r="D52" s="212">
        <v>0</v>
      </c>
      <c r="E52" s="212">
        <v>1</v>
      </c>
      <c r="F52" s="212">
        <v>1</v>
      </c>
      <c r="G52" s="212">
        <v>1</v>
      </c>
      <c r="H52" s="212">
        <v>5</v>
      </c>
      <c r="I52" s="212">
        <v>5</v>
      </c>
      <c r="J52" s="213">
        <v>0</v>
      </c>
      <c r="K52" s="213">
        <v>0</v>
      </c>
      <c r="L52" s="213">
        <f t="shared" si="0"/>
        <v>0</v>
      </c>
      <c r="M52" s="214">
        <f t="shared" si="1"/>
        <v>0</v>
      </c>
      <c r="N52" s="122">
        <f t="shared" si="2"/>
        <v>0</v>
      </c>
      <c r="O52" s="122">
        <f t="shared" si="3"/>
        <v>0</v>
      </c>
      <c r="P52" s="122">
        <f t="shared" si="9"/>
        <v>0</v>
      </c>
      <c r="Q52" s="122">
        <f t="shared" si="4"/>
        <v>0</v>
      </c>
      <c r="R52" s="122">
        <f t="shared" si="5"/>
        <v>0</v>
      </c>
      <c r="S52" s="122">
        <f t="shared" si="6"/>
        <v>0</v>
      </c>
      <c r="T52" s="122">
        <f t="shared" si="7"/>
        <v>0</v>
      </c>
      <c r="U52" s="122">
        <f t="shared" si="8"/>
        <v>0</v>
      </c>
      <c r="V52" s="30">
        <f t="shared" si="10"/>
        <v>0</v>
      </c>
      <c r="W52" s="30">
        <f t="shared" si="11"/>
        <v>0</v>
      </c>
      <c r="X52" s="30">
        <f t="shared" si="12"/>
        <v>0</v>
      </c>
      <c r="Y52" s="30">
        <f t="shared" si="12"/>
        <v>0</v>
      </c>
      <c r="Z52" s="2"/>
    </row>
    <row r="53" spans="1:26" ht="54.95" customHeight="1">
      <c r="A53" s="209">
        <v>50</v>
      </c>
      <c r="B53" s="232" t="s">
        <v>549</v>
      </c>
      <c r="C53" s="211">
        <v>0.3</v>
      </c>
      <c r="D53" s="212">
        <v>0</v>
      </c>
      <c r="E53" s="212">
        <v>1</v>
      </c>
      <c r="F53" s="212">
        <v>0</v>
      </c>
      <c r="G53" s="212">
        <v>1</v>
      </c>
      <c r="H53" s="212">
        <v>4</v>
      </c>
      <c r="I53" s="212">
        <v>4</v>
      </c>
      <c r="J53" s="213">
        <v>0</v>
      </c>
      <c r="K53" s="213">
        <v>0</v>
      </c>
      <c r="L53" s="213">
        <f t="shared" si="0"/>
        <v>0</v>
      </c>
      <c r="M53" s="214">
        <f t="shared" si="1"/>
        <v>0</v>
      </c>
      <c r="N53" s="122">
        <f t="shared" si="2"/>
        <v>0</v>
      </c>
      <c r="O53" s="122">
        <f t="shared" si="3"/>
        <v>0</v>
      </c>
      <c r="P53" s="122">
        <f t="shared" si="9"/>
        <v>0</v>
      </c>
      <c r="Q53" s="122">
        <f t="shared" si="4"/>
        <v>0</v>
      </c>
      <c r="R53" s="122">
        <f t="shared" si="5"/>
        <v>0</v>
      </c>
      <c r="S53" s="122">
        <f t="shared" si="6"/>
        <v>0</v>
      </c>
      <c r="T53" s="122">
        <f t="shared" si="7"/>
        <v>0</v>
      </c>
      <c r="U53" s="122">
        <f t="shared" si="8"/>
        <v>0</v>
      </c>
      <c r="V53" s="30">
        <f t="shared" si="10"/>
        <v>0</v>
      </c>
      <c r="W53" s="30">
        <f t="shared" si="11"/>
        <v>0</v>
      </c>
      <c r="X53" s="30">
        <f t="shared" si="12"/>
        <v>0</v>
      </c>
      <c r="Y53" s="30">
        <f t="shared" si="12"/>
        <v>0</v>
      </c>
      <c r="Z53" s="2"/>
    </row>
    <row r="54" spans="1:26" ht="54.95" customHeight="1">
      <c r="A54" s="209">
        <v>51</v>
      </c>
      <c r="B54" s="232" t="s">
        <v>328</v>
      </c>
      <c r="C54" s="211">
        <v>4</v>
      </c>
      <c r="D54" s="212">
        <v>0</v>
      </c>
      <c r="E54" s="212">
        <v>1</v>
      </c>
      <c r="F54" s="212">
        <v>0</v>
      </c>
      <c r="G54" s="212">
        <v>1</v>
      </c>
      <c r="H54" s="212">
        <v>4</v>
      </c>
      <c r="I54" s="212">
        <v>4</v>
      </c>
      <c r="J54" s="213">
        <v>0</v>
      </c>
      <c r="K54" s="213">
        <v>0</v>
      </c>
      <c r="L54" s="213">
        <f t="shared" si="0"/>
        <v>0</v>
      </c>
      <c r="M54" s="214">
        <f t="shared" si="1"/>
        <v>0</v>
      </c>
      <c r="N54" s="122">
        <f t="shared" si="2"/>
        <v>0</v>
      </c>
      <c r="O54" s="122">
        <f t="shared" si="3"/>
        <v>0</v>
      </c>
      <c r="P54" s="122">
        <f t="shared" si="9"/>
        <v>0</v>
      </c>
      <c r="Q54" s="122">
        <f t="shared" si="4"/>
        <v>0</v>
      </c>
      <c r="R54" s="122">
        <f t="shared" si="5"/>
        <v>0</v>
      </c>
      <c r="S54" s="122">
        <f t="shared" si="6"/>
        <v>0</v>
      </c>
      <c r="T54" s="122">
        <f t="shared" si="7"/>
        <v>0</v>
      </c>
      <c r="U54" s="122">
        <f t="shared" si="8"/>
        <v>0</v>
      </c>
      <c r="V54" s="30">
        <f t="shared" si="10"/>
        <v>0</v>
      </c>
      <c r="W54" s="30">
        <f t="shared" si="11"/>
        <v>0</v>
      </c>
      <c r="X54" s="30">
        <f t="shared" si="12"/>
        <v>0</v>
      </c>
      <c r="Y54" s="30">
        <f t="shared" si="12"/>
        <v>0</v>
      </c>
      <c r="Z54" s="2"/>
    </row>
    <row r="55" spans="1:26" ht="54.95" customHeight="1">
      <c r="A55" s="209">
        <v>52</v>
      </c>
      <c r="B55" s="232" t="s">
        <v>550</v>
      </c>
      <c r="C55" s="211">
        <v>0.3</v>
      </c>
      <c r="D55" s="212">
        <v>0</v>
      </c>
      <c r="E55" s="212">
        <v>1</v>
      </c>
      <c r="F55" s="212">
        <v>0</v>
      </c>
      <c r="G55" s="212">
        <v>1</v>
      </c>
      <c r="H55" s="212">
        <v>4</v>
      </c>
      <c r="I55" s="212">
        <v>4</v>
      </c>
      <c r="J55" s="213">
        <v>0</v>
      </c>
      <c r="K55" s="213">
        <v>0</v>
      </c>
      <c r="L55" s="213">
        <f t="shared" si="0"/>
        <v>0</v>
      </c>
      <c r="M55" s="214">
        <f t="shared" si="1"/>
        <v>0</v>
      </c>
      <c r="N55" s="122">
        <f t="shared" si="2"/>
        <v>0</v>
      </c>
      <c r="O55" s="122">
        <f t="shared" si="3"/>
        <v>0</v>
      </c>
      <c r="P55" s="122">
        <f t="shared" si="9"/>
        <v>0</v>
      </c>
      <c r="Q55" s="122">
        <f t="shared" si="4"/>
        <v>0</v>
      </c>
      <c r="R55" s="122">
        <f t="shared" si="5"/>
        <v>0</v>
      </c>
      <c r="S55" s="122">
        <f t="shared" si="6"/>
        <v>0</v>
      </c>
      <c r="T55" s="122">
        <f t="shared" si="7"/>
        <v>0</v>
      </c>
      <c r="U55" s="122">
        <f t="shared" si="8"/>
        <v>0</v>
      </c>
      <c r="V55" s="30">
        <f t="shared" si="10"/>
        <v>0</v>
      </c>
      <c r="W55" s="30">
        <f t="shared" si="11"/>
        <v>0</v>
      </c>
      <c r="X55" s="30">
        <f t="shared" si="12"/>
        <v>0</v>
      </c>
      <c r="Y55" s="30">
        <f t="shared" si="12"/>
        <v>0</v>
      </c>
      <c r="Z55" s="2"/>
    </row>
    <row r="56" spans="1:26" ht="54.95" customHeight="1">
      <c r="A56" s="209">
        <v>53</v>
      </c>
      <c r="B56" s="232" t="s">
        <v>1347</v>
      </c>
      <c r="C56" s="211">
        <v>6</v>
      </c>
      <c r="D56" s="212">
        <v>0</v>
      </c>
      <c r="E56" s="212">
        <v>0</v>
      </c>
      <c r="F56" s="212">
        <v>0</v>
      </c>
      <c r="G56" s="212">
        <v>1</v>
      </c>
      <c r="H56" s="212">
        <v>1</v>
      </c>
      <c r="I56" s="212">
        <v>4</v>
      </c>
      <c r="J56" s="213">
        <v>0</v>
      </c>
      <c r="K56" s="213">
        <v>0</v>
      </c>
      <c r="L56" s="237">
        <f t="shared" si="0"/>
        <v>0</v>
      </c>
      <c r="M56" s="238">
        <f t="shared" si="1"/>
        <v>0</v>
      </c>
      <c r="N56" s="122">
        <f t="shared" si="2"/>
        <v>0</v>
      </c>
      <c r="O56" s="122">
        <f t="shared" si="3"/>
        <v>0</v>
      </c>
      <c r="P56" s="122">
        <f t="shared" si="9"/>
        <v>0</v>
      </c>
      <c r="Q56" s="122">
        <f t="shared" si="4"/>
        <v>0</v>
      </c>
      <c r="R56" s="122">
        <f t="shared" si="5"/>
        <v>0</v>
      </c>
      <c r="S56" s="122">
        <f t="shared" si="6"/>
        <v>0</v>
      </c>
      <c r="T56" s="122">
        <f t="shared" si="7"/>
        <v>0</v>
      </c>
      <c r="U56" s="122">
        <f t="shared" si="8"/>
        <v>0</v>
      </c>
      <c r="V56" s="30">
        <f t="shared" si="10"/>
        <v>0</v>
      </c>
      <c r="W56" s="30">
        <f t="shared" si="11"/>
        <v>0</v>
      </c>
      <c r="X56" s="30">
        <f t="shared" si="12"/>
        <v>0</v>
      </c>
      <c r="Y56" s="30">
        <f t="shared" si="12"/>
        <v>0</v>
      </c>
    </row>
    <row r="57" spans="1:26" ht="54.95" customHeight="1">
      <c r="A57" s="209">
        <v>54</v>
      </c>
      <c r="B57" s="232" t="s">
        <v>1346</v>
      </c>
      <c r="C57" s="211">
        <v>24</v>
      </c>
      <c r="D57" s="212">
        <v>0</v>
      </c>
      <c r="E57" s="212">
        <v>0</v>
      </c>
      <c r="F57" s="212">
        <v>1</v>
      </c>
      <c r="G57" s="212">
        <v>2</v>
      </c>
      <c r="H57" s="212">
        <v>1</v>
      </c>
      <c r="I57" s="212">
        <v>4</v>
      </c>
      <c r="J57" s="213">
        <v>0</v>
      </c>
      <c r="K57" s="213">
        <v>0</v>
      </c>
      <c r="L57" s="237">
        <f t="shared" si="0"/>
        <v>0</v>
      </c>
      <c r="M57" s="238">
        <f t="shared" si="1"/>
        <v>0</v>
      </c>
      <c r="N57" s="122">
        <f t="shared" si="2"/>
        <v>0</v>
      </c>
      <c r="O57" s="122">
        <f t="shared" si="3"/>
        <v>0</v>
      </c>
      <c r="P57" s="122">
        <f t="shared" si="9"/>
        <v>0</v>
      </c>
      <c r="Q57" s="122">
        <f t="shared" si="4"/>
        <v>0</v>
      </c>
      <c r="R57" s="122">
        <f t="shared" si="5"/>
        <v>0</v>
      </c>
      <c r="S57" s="122">
        <f t="shared" si="6"/>
        <v>0</v>
      </c>
      <c r="T57" s="122">
        <f t="shared" si="7"/>
        <v>0</v>
      </c>
      <c r="U57" s="122">
        <f t="shared" si="8"/>
        <v>0</v>
      </c>
      <c r="V57" s="30">
        <f t="shared" si="10"/>
        <v>0</v>
      </c>
      <c r="W57" s="30">
        <f t="shared" si="11"/>
        <v>0</v>
      </c>
      <c r="X57" s="30">
        <f t="shared" si="12"/>
        <v>0</v>
      </c>
      <c r="Y57" s="30">
        <f t="shared" si="12"/>
        <v>0</v>
      </c>
    </row>
    <row r="58" spans="1:26" ht="54.95" customHeight="1">
      <c r="A58" s="209">
        <v>55</v>
      </c>
      <c r="B58" s="232" t="s">
        <v>235</v>
      </c>
      <c r="C58" s="211">
        <v>2.5</v>
      </c>
      <c r="D58" s="212">
        <v>0</v>
      </c>
      <c r="E58" s="212">
        <v>0</v>
      </c>
      <c r="F58" s="212">
        <v>0</v>
      </c>
      <c r="G58" s="212">
        <v>1</v>
      </c>
      <c r="H58" s="212">
        <v>1</v>
      </c>
      <c r="I58" s="212">
        <v>4</v>
      </c>
      <c r="J58" s="213">
        <v>0</v>
      </c>
      <c r="K58" s="213">
        <v>0</v>
      </c>
      <c r="L58" s="237">
        <f t="shared" si="0"/>
        <v>0</v>
      </c>
      <c r="M58" s="238">
        <f t="shared" si="1"/>
        <v>0</v>
      </c>
      <c r="N58" s="122">
        <f t="shared" si="2"/>
        <v>0</v>
      </c>
      <c r="O58" s="122">
        <f t="shared" si="3"/>
        <v>0</v>
      </c>
      <c r="P58" s="122">
        <f t="shared" si="9"/>
        <v>0</v>
      </c>
      <c r="Q58" s="122">
        <f t="shared" si="4"/>
        <v>0</v>
      </c>
      <c r="R58" s="122">
        <f t="shared" si="5"/>
        <v>0</v>
      </c>
      <c r="S58" s="122">
        <f t="shared" si="6"/>
        <v>0</v>
      </c>
      <c r="T58" s="122">
        <f t="shared" si="7"/>
        <v>0</v>
      </c>
      <c r="U58" s="122">
        <f t="shared" si="8"/>
        <v>0</v>
      </c>
      <c r="V58" s="30">
        <f t="shared" si="10"/>
        <v>0</v>
      </c>
      <c r="W58" s="30">
        <f t="shared" si="11"/>
        <v>0</v>
      </c>
      <c r="X58" s="30">
        <f t="shared" si="12"/>
        <v>0</v>
      </c>
      <c r="Y58" s="30">
        <f t="shared" si="12"/>
        <v>0</v>
      </c>
    </row>
    <row r="59" spans="1:26" s="130" customFormat="1" ht="54.95" customHeight="1">
      <c r="A59" s="209">
        <v>56</v>
      </c>
      <c r="B59" s="232" t="s">
        <v>236</v>
      </c>
      <c r="C59" s="211">
        <v>3</v>
      </c>
      <c r="D59" s="212">
        <v>0</v>
      </c>
      <c r="E59" s="212">
        <v>0</v>
      </c>
      <c r="F59" s="212">
        <v>0</v>
      </c>
      <c r="G59" s="212">
        <v>1</v>
      </c>
      <c r="H59" s="212">
        <v>1</v>
      </c>
      <c r="I59" s="212">
        <v>4</v>
      </c>
      <c r="J59" s="213">
        <v>0</v>
      </c>
      <c r="K59" s="213">
        <v>0</v>
      </c>
      <c r="L59" s="237">
        <f t="shared" si="0"/>
        <v>0</v>
      </c>
      <c r="M59" s="238">
        <f t="shared" si="1"/>
        <v>0</v>
      </c>
      <c r="N59" s="122">
        <f t="shared" si="2"/>
        <v>0</v>
      </c>
      <c r="O59" s="122">
        <f t="shared" si="3"/>
        <v>0</v>
      </c>
      <c r="P59" s="122">
        <f t="shared" si="9"/>
        <v>0</v>
      </c>
      <c r="Q59" s="122">
        <f t="shared" si="4"/>
        <v>0</v>
      </c>
      <c r="R59" s="122">
        <f t="shared" si="5"/>
        <v>0</v>
      </c>
      <c r="S59" s="122">
        <f t="shared" si="6"/>
        <v>0</v>
      </c>
      <c r="T59" s="122">
        <f t="shared" si="7"/>
        <v>0</v>
      </c>
      <c r="U59" s="122">
        <f t="shared" si="8"/>
        <v>0</v>
      </c>
      <c r="V59" s="30">
        <f t="shared" si="10"/>
        <v>0</v>
      </c>
      <c r="W59" s="30">
        <f t="shared" si="11"/>
        <v>0</v>
      </c>
      <c r="X59" s="30">
        <f t="shared" si="12"/>
        <v>0</v>
      </c>
      <c r="Y59" s="30">
        <f t="shared" si="12"/>
        <v>0</v>
      </c>
      <c r="Z59" s="121"/>
    </row>
    <row r="60" spans="1:26" ht="54.95" customHeight="1">
      <c r="A60" s="209">
        <v>57</v>
      </c>
      <c r="B60" s="232" t="s">
        <v>237</v>
      </c>
      <c r="C60" s="211">
        <v>2</v>
      </c>
      <c r="D60" s="212">
        <v>0</v>
      </c>
      <c r="E60" s="212">
        <v>1</v>
      </c>
      <c r="F60" s="212">
        <v>0</v>
      </c>
      <c r="G60" s="212">
        <v>1</v>
      </c>
      <c r="H60" s="212">
        <v>1</v>
      </c>
      <c r="I60" s="212">
        <v>1</v>
      </c>
      <c r="J60" s="213">
        <v>0</v>
      </c>
      <c r="K60" s="213">
        <v>0</v>
      </c>
      <c r="L60" s="237">
        <f t="shared" si="0"/>
        <v>0</v>
      </c>
      <c r="M60" s="238">
        <f t="shared" si="1"/>
        <v>0</v>
      </c>
      <c r="N60" s="122">
        <f t="shared" si="2"/>
        <v>0</v>
      </c>
      <c r="O60" s="122">
        <f t="shared" si="3"/>
        <v>0</v>
      </c>
      <c r="P60" s="122">
        <f t="shared" si="9"/>
        <v>0</v>
      </c>
      <c r="Q60" s="122">
        <f t="shared" si="4"/>
        <v>0</v>
      </c>
      <c r="R60" s="122">
        <f t="shared" si="5"/>
        <v>0</v>
      </c>
      <c r="S60" s="122">
        <f t="shared" si="6"/>
        <v>0</v>
      </c>
      <c r="T60" s="122">
        <f t="shared" si="7"/>
        <v>0</v>
      </c>
      <c r="U60" s="122">
        <f t="shared" si="8"/>
        <v>0</v>
      </c>
      <c r="V60" s="30">
        <f t="shared" si="10"/>
        <v>0</v>
      </c>
      <c r="W60" s="30">
        <f t="shared" si="11"/>
        <v>0</v>
      </c>
      <c r="X60" s="30">
        <f t="shared" si="12"/>
        <v>0</v>
      </c>
      <c r="Y60" s="30">
        <f t="shared" si="12"/>
        <v>0</v>
      </c>
    </row>
    <row r="61" spans="1:26" s="130" customFormat="1" ht="54.95" customHeight="1">
      <c r="A61" s="209">
        <v>58</v>
      </c>
      <c r="B61" s="232" t="s">
        <v>238</v>
      </c>
      <c r="C61" s="211">
        <v>6</v>
      </c>
      <c r="D61" s="212">
        <v>0</v>
      </c>
      <c r="E61" s="212">
        <v>1</v>
      </c>
      <c r="F61" s="212">
        <v>0</v>
      </c>
      <c r="G61" s="212">
        <v>1</v>
      </c>
      <c r="H61" s="212">
        <v>1</v>
      </c>
      <c r="I61" s="212">
        <v>1</v>
      </c>
      <c r="J61" s="213">
        <v>0</v>
      </c>
      <c r="K61" s="213">
        <v>0</v>
      </c>
      <c r="L61" s="237">
        <f t="shared" si="0"/>
        <v>0</v>
      </c>
      <c r="M61" s="238">
        <f t="shared" si="1"/>
        <v>0</v>
      </c>
      <c r="N61" s="122">
        <f t="shared" si="2"/>
        <v>0</v>
      </c>
      <c r="O61" s="122">
        <f t="shared" si="3"/>
        <v>0</v>
      </c>
      <c r="P61" s="122">
        <f t="shared" si="9"/>
        <v>0</v>
      </c>
      <c r="Q61" s="122">
        <f t="shared" si="4"/>
        <v>0</v>
      </c>
      <c r="R61" s="122">
        <f t="shared" si="5"/>
        <v>0</v>
      </c>
      <c r="S61" s="122">
        <f t="shared" si="6"/>
        <v>0</v>
      </c>
      <c r="T61" s="122">
        <f t="shared" si="7"/>
        <v>0</v>
      </c>
      <c r="U61" s="122">
        <f t="shared" si="8"/>
        <v>0</v>
      </c>
      <c r="V61" s="30">
        <f t="shared" si="10"/>
        <v>0</v>
      </c>
      <c r="W61" s="30">
        <f t="shared" si="11"/>
        <v>0</v>
      </c>
      <c r="X61" s="30">
        <f t="shared" si="12"/>
        <v>0</v>
      </c>
      <c r="Y61" s="30">
        <f t="shared" si="12"/>
        <v>0</v>
      </c>
      <c r="Z61" s="121"/>
    </row>
    <row r="62" spans="1:26" ht="54.95" customHeight="1">
      <c r="A62" s="209">
        <v>59</v>
      </c>
      <c r="B62" s="232" t="s">
        <v>551</v>
      </c>
      <c r="C62" s="211">
        <v>1.7000000000000001E-2</v>
      </c>
      <c r="D62" s="212">
        <v>0</v>
      </c>
      <c r="E62" s="212">
        <v>0</v>
      </c>
      <c r="F62" s="212">
        <v>0</v>
      </c>
      <c r="G62" s="212">
        <v>1</v>
      </c>
      <c r="H62" s="212">
        <v>1</v>
      </c>
      <c r="I62" s="212">
        <v>4</v>
      </c>
      <c r="J62" s="213">
        <v>0</v>
      </c>
      <c r="K62" s="213">
        <v>0</v>
      </c>
      <c r="L62" s="237">
        <f t="shared" si="0"/>
        <v>0</v>
      </c>
      <c r="M62" s="238">
        <f t="shared" si="1"/>
        <v>0</v>
      </c>
      <c r="N62" s="122">
        <f t="shared" si="2"/>
        <v>0</v>
      </c>
      <c r="O62" s="122">
        <f t="shared" si="3"/>
        <v>0</v>
      </c>
      <c r="P62" s="122">
        <f t="shared" si="9"/>
        <v>0</v>
      </c>
      <c r="Q62" s="122">
        <f t="shared" si="4"/>
        <v>0</v>
      </c>
      <c r="R62" s="122">
        <f t="shared" si="5"/>
        <v>0</v>
      </c>
      <c r="S62" s="122">
        <f t="shared" si="6"/>
        <v>0</v>
      </c>
      <c r="T62" s="122">
        <f t="shared" si="7"/>
        <v>0</v>
      </c>
      <c r="U62" s="122">
        <f t="shared" si="8"/>
        <v>0</v>
      </c>
      <c r="V62" s="30">
        <f t="shared" si="10"/>
        <v>0</v>
      </c>
      <c r="W62" s="30">
        <f t="shared" si="11"/>
        <v>0</v>
      </c>
      <c r="X62" s="30">
        <f t="shared" si="12"/>
        <v>0</v>
      </c>
      <c r="Y62" s="30">
        <f t="shared" si="12"/>
        <v>0</v>
      </c>
    </row>
    <row r="63" spans="1:26" ht="54.95" customHeight="1">
      <c r="A63" s="209">
        <v>60</v>
      </c>
      <c r="B63" s="232" t="s">
        <v>281</v>
      </c>
      <c r="C63" s="211">
        <v>2E-3</v>
      </c>
      <c r="D63" s="212">
        <v>0</v>
      </c>
      <c r="E63" s="212">
        <v>0</v>
      </c>
      <c r="F63" s="212">
        <v>0</v>
      </c>
      <c r="G63" s="212">
        <v>1</v>
      </c>
      <c r="H63" s="212">
        <v>5</v>
      </c>
      <c r="I63" s="212">
        <v>4</v>
      </c>
      <c r="J63" s="213">
        <v>0</v>
      </c>
      <c r="K63" s="213">
        <v>0</v>
      </c>
      <c r="L63" s="237">
        <f t="shared" si="0"/>
        <v>0</v>
      </c>
      <c r="M63" s="238">
        <f t="shared" si="1"/>
        <v>0</v>
      </c>
      <c r="N63" s="122">
        <f t="shared" si="2"/>
        <v>0</v>
      </c>
      <c r="O63" s="122">
        <f t="shared" si="3"/>
        <v>0</v>
      </c>
      <c r="P63" s="122">
        <f t="shared" si="9"/>
        <v>0</v>
      </c>
      <c r="Q63" s="122">
        <f t="shared" si="4"/>
        <v>0</v>
      </c>
      <c r="R63" s="122">
        <f t="shared" si="5"/>
        <v>0</v>
      </c>
      <c r="S63" s="122">
        <f t="shared" si="6"/>
        <v>0</v>
      </c>
      <c r="T63" s="122">
        <f t="shared" si="7"/>
        <v>0</v>
      </c>
      <c r="U63" s="122">
        <f t="shared" si="8"/>
        <v>0</v>
      </c>
      <c r="V63" s="30">
        <f t="shared" si="10"/>
        <v>0</v>
      </c>
      <c r="W63" s="30">
        <f t="shared" si="11"/>
        <v>0</v>
      </c>
      <c r="X63" s="30">
        <f t="shared" si="12"/>
        <v>0</v>
      </c>
      <c r="Y63" s="30">
        <f t="shared" si="12"/>
        <v>0</v>
      </c>
    </row>
    <row r="64" spans="1:26" ht="54.95" customHeight="1">
      <c r="A64" s="209">
        <v>61</v>
      </c>
      <c r="B64" s="232" t="s">
        <v>330</v>
      </c>
      <c r="C64" s="211">
        <v>0.12</v>
      </c>
      <c r="D64" s="212">
        <v>0</v>
      </c>
      <c r="E64" s="212">
        <v>0</v>
      </c>
      <c r="F64" s="212">
        <v>0</v>
      </c>
      <c r="G64" s="212">
        <v>1</v>
      </c>
      <c r="H64" s="212">
        <v>5</v>
      </c>
      <c r="I64" s="212">
        <v>4</v>
      </c>
      <c r="J64" s="213">
        <v>0</v>
      </c>
      <c r="K64" s="213">
        <v>0</v>
      </c>
      <c r="L64" s="237">
        <f t="shared" si="0"/>
        <v>0</v>
      </c>
      <c r="M64" s="238">
        <f t="shared" si="1"/>
        <v>0</v>
      </c>
      <c r="N64" s="122">
        <f t="shared" si="2"/>
        <v>0</v>
      </c>
      <c r="O64" s="122">
        <f t="shared" si="3"/>
        <v>0</v>
      </c>
      <c r="P64" s="122">
        <f t="shared" si="9"/>
        <v>0</v>
      </c>
      <c r="Q64" s="122">
        <f t="shared" si="4"/>
        <v>0</v>
      </c>
      <c r="R64" s="122">
        <f t="shared" si="5"/>
        <v>0</v>
      </c>
      <c r="S64" s="122">
        <f t="shared" si="6"/>
        <v>0</v>
      </c>
      <c r="T64" s="122">
        <f t="shared" si="7"/>
        <v>0</v>
      </c>
      <c r="U64" s="122">
        <f t="shared" si="8"/>
        <v>0</v>
      </c>
      <c r="V64" s="30">
        <f t="shared" si="10"/>
        <v>0</v>
      </c>
      <c r="W64" s="30">
        <f t="shared" si="11"/>
        <v>0</v>
      </c>
      <c r="X64" s="30">
        <f t="shared" si="12"/>
        <v>0</v>
      </c>
      <c r="Y64" s="30">
        <f t="shared" si="12"/>
        <v>0</v>
      </c>
    </row>
    <row r="65" spans="1:26" ht="54.95" customHeight="1">
      <c r="A65" s="209">
        <v>62</v>
      </c>
      <c r="B65" s="232" t="s">
        <v>241</v>
      </c>
      <c r="C65" s="211">
        <v>5.6000000000000001E-2</v>
      </c>
      <c r="D65" s="212">
        <v>0</v>
      </c>
      <c r="E65" s="212">
        <v>0</v>
      </c>
      <c r="F65" s="212">
        <v>0</v>
      </c>
      <c r="G65" s="212">
        <v>1</v>
      </c>
      <c r="H65" s="212">
        <v>1</v>
      </c>
      <c r="I65" s="212">
        <v>4</v>
      </c>
      <c r="J65" s="213">
        <v>0</v>
      </c>
      <c r="K65" s="213">
        <v>0</v>
      </c>
      <c r="L65" s="237">
        <f>(((J65*C65)/$A$2)*D65)+(((J65*C65)/$A$2)*E65)+(((J65*C65)/$A$2)*F65)+(((J65*C65)/$A$2)*G65)</f>
        <v>0</v>
      </c>
      <c r="M65" s="238">
        <f>(((K65*C65)/$A$2)*D65)+(((K65*C65)/$A$2)*E65)+(((K65*C65)/$A$2)*F65)+(((K65*C65)/$A$2)*G65)</f>
        <v>0</v>
      </c>
      <c r="N65" s="122">
        <f t="shared" si="2"/>
        <v>0</v>
      </c>
      <c r="O65" s="122">
        <f t="shared" si="3"/>
        <v>0</v>
      </c>
      <c r="P65" s="122">
        <f t="shared" si="9"/>
        <v>0</v>
      </c>
      <c r="Q65" s="122">
        <f t="shared" si="4"/>
        <v>0</v>
      </c>
      <c r="R65" s="122">
        <f t="shared" si="5"/>
        <v>0</v>
      </c>
      <c r="S65" s="122">
        <f t="shared" si="6"/>
        <v>0</v>
      </c>
      <c r="T65" s="122">
        <f t="shared" si="7"/>
        <v>0</v>
      </c>
      <c r="U65" s="122">
        <f t="shared" si="8"/>
        <v>0</v>
      </c>
      <c r="V65" s="30">
        <f t="shared" si="10"/>
        <v>0</v>
      </c>
      <c r="W65" s="30">
        <f t="shared" si="11"/>
        <v>0</v>
      </c>
      <c r="X65" s="30">
        <f t="shared" si="12"/>
        <v>0</v>
      </c>
      <c r="Y65" s="30">
        <f t="shared" si="12"/>
        <v>0</v>
      </c>
    </row>
    <row r="66" spans="1:26" ht="54.95" customHeight="1">
      <c r="A66" s="209">
        <v>63</v>
      </c>
      <c r="B66" s="232" t="s">
        <v>242</v>
      </c>
      <c r="C66" s="211">
        <v>0.112</v>
      </c>
      <c r="D66" s="212">
        <v>0</v>
      </c>
      <c r="E66" s="212">
        <v>0</v>
      </c>
      <c r="F66" s="212">
        <v>0</v>
      </c>
      <c r="G66" s="212">
        <v>1</v>
      </c>
      <c r="H66" s="212">
        <v>1</v>
      </c>
      <c r="I66" s="212">
        <v>4</v>
      </c>
      <c r="J66" s="213">
        <v>0</v>
      </c>
      <c r="K66" s="213">
        <v>0</v>
      </c>
      <c r="L66" s="237">
        <f>(((J66*C66)/$A$2)*D66)+(((J66*C66)/$A$2)*E66)+(((J66*C66)/$A$2)*F66)+(((J66*C66)/$A$2)*G66)</f>
        <v>0</v>
      </c>
      <c r="M66" s="238">
        <f>(((K66*C66)/$A$2)*D66)+(((K66*C66)/$A$2)*E66)+(((K66*C66)/$A$2)*F66)+(((K66*C66)/$A$2)*G66)</f>
        <v>0</v>
      </c>
      <c r="N66" s="122">
        <f t="shared" si="2"/>
        <v>0</v>
      </c>
      <c r="O66" s="122">
        <f t="shared" si="3"/>
        <v>0</v>
      </c>
      <c r="P66" s="122">
        <f t="shared" si="9"/>
        <v>0</v>
      </c>
      <c r="Q66" s="122">
        <f t="shared" si="4"/>
        <v>0</v>
      </c>
      <c r="R66" s="122">
        <f t="shared" si="5"/>
        <v>0</v>
      </c>
      <c r="S66" s="122">
        <f t="shared" si="6"/>
        <v>0</v>
      </c>
      <c r="T66" s="122">
        <f t="shared" si="7"/>
        <v>0</v>
      </c>
      <c r="U66" s="122">
        <f t="shared" si="8"/>
        <v>0</v>
      </c>
      <c r="V66" s="30">
        <f t="shared" si="10"/>
        <v>0</v>
      </c>
      <c r="W66" s="30">
        <f t="shared" si="11"/>
        <v>0</v>
      </c>
      <c r="X66" s="30">
        <f t="shared" si="12"/>
        <v>0</v>
      </c>
      <c r="Y66" s="30">
        <f t="shared" si="12"/>
        <v>0</v>
      </c>
    </row>
    <row r="67" spans="1:26" ht="54.95" customHeight="1">
      <c r="A67" s="209">
        <v>64</v>
      </c>
      <c r="B67" s="232" t="s">
        <v>243</v>
      </c>
      <c r="C67" s="211">
        <v>6</v>
      </c>
      <c r="D67" s="212">
        <v>0</v>
      </c>
      <c r="E67" s="212">
        <v>1</v>
      </c>
      <c r="F67" s="212">
        <v>0</v>
      </c>
      <c r="G67" s="212">
        <v>1</v>
      </c>
      <c r="H67" s="212">
        <v>5</v>
      </c>
      <c r="I67" s="212">
        <v>4</v>
      </c>
      <c r="J67" s="213">
        <v>0</v>
      </c>
      <c r="K67" s="213">
        <v>0</v>
      </c>
      <c r="L67" s="237">
        <f t="shared" si="0"/>
        <v>0</v>
      </c>
      <c r="M67" s="238">
        <f t="shared" si="1"/>
        <v>0</v>
      </c>
      <c r="N67" s="122">
        <f t="shared" si="2"/>
        <v>0</v>
      </c>
      <c r="O67" s="122">
        <f t="shared" si="3"/>
        <v>0</v>
      </c>
      <c r="P67" s="122">
        <f t="shared" si="9"/>
        <v>0</v>
      </c>
      <c r="Q67" s="122">
        <f t="shared" si="4"/>
        <v>0</v>
      </c>
      <c r="R67" s="122">
        <f t="shared" si="5"/>
        <v>0</v>
      </c>
      <c r="S67" s="122">
        <f t="shared" si="6"/>
        <v>0</v>
      </c>
      <c r="T67" s="122">
        <f t="shared" si="7"/>
        <v>0</v>
      </c>
      <c r="U67" s="122">
        <f t="shared" si="8"/>
        <v>0</v>
      </c>
      <c r="V67" s="30">
        <f t="shared" si="10"/>
        <v>0</v>
      </c>
      <c r="W67" s="30">
        <f t="shared" si="11"/>
        <v>0</v>
      </c>
      <c r="X67" s="30">
        <f t="shared" si="12"/>
        <v>0</v>
      </c>
      <c r="Y67" s="30">
        <f t="shared" si="12"/>
        <v>0</v>
      </c>
    </row>
    <row r="68" spans="1:26" ht="54.95" customHeight="1">
      <c r="A68" s="209">
        <v>65</v>
      </c>
      <c r="B68" s="232" t="s">
        <v>244</v>
      </c>
      <c r="C68" s="211">
        <v>6</v>
      </c>
      <c r="D68" s="212">
        <v>0</v>
      </c>
      <c r="E68" s="212">
        <v>1</v>
      </c>
      <c r="F68" s="212">
        <v>0</v>
      </c>
      <c r="G68" s="212">
        <v>1</v>
      </c>
      <c r="H68" s="212">
        <v>5</v>
      </c>
      <c r="I68" s="212">
        <v>4</v>
      </c>
      <c r="J68" s="213">
        <v>0</v>
      </c>
      <c r="K68" s="213">
        <v>0</v>
      </c>
      <c r="L68" s="213">
        <f t="shared" ref="L68:L72" si="13">(((J68*C68)/$A$2)*D68)+(((J68*C68)/$A$2)*E68)+(((J68*C68)/$A$2)*F68)+(((J68*C68)/$A$2)*G68)</f>
        <v>0</v>
      </c>
      <c r="M68" s="214">
        <f t="shared" ref="M68:M72" si="14">(((K68*C68)/$A$2)*D68)+(((K68*C68)/$A$2)*E68)+(((K68*C68)/$A$2)*F68)+(((K68*C68)/$A$2)*G68)</f>
        <v>0</v>
      </c>
      <c r="N68" s="122">
        <f t="shared" ref="N68:N72" si="15">J68*D68*C68/$A$2</f>
        <v>0</v>
      </c>
      <c r="O68" s="122">
        <f t="shared" ref="O68:O72" si="16">J68*E68*C68/$A$2</f>
        <v>0</v>
      </c>
      <c r="P68" s="122">
        <f t="shared" si="9"/>
        <v>0</v>
      </c>
      <c r="Q68" s="122">
        <f t="shared" ref="Q68:Q72" si="17">J68*G68*C68/$A$2</f>
        <v>0</v>
      </c>
      <c r="R68" s="122">
        <f t="shared" ref="R68:R72" si="18">K68*D68*C68/$A$2</f>
        <v>0</v>
      </c>
      <c r="S68" s="122">
        <f t="shared" ref="S68:S72" si="19">K68*E68*C68/$A$2</f>
        <v>0</v>
      </c>
      <c r="T68" s="122">
        <f t="shared" ref="T68:T72" si="20">K68*F68*C68/$A$2</f>
        <v>0</v>
      </c>
      <c r="U68" s="122">
        <f t="shared" ref="U68:U72" si="21">K68*G68*C68/$A$2</f>
        <v>0</v>
      </c>
      <c r="V68" s="30">
        <f t="shared" si="10"/>
        <v>0</v>
      </c>
      <c r="W68" s="30">
        <f t="shared" si="11"/>
        <v>0</v>
      </c>
      <c r="X68" s="30">
        <f t="shared" si="12"/>
        <v>0</v>
      </c>
      <c r="Y68" s="30">
        <f t="shared" si="12"/>
        <v>0</v>
      </c>
      <c r="Z68" s="2"/>
    </row>
    <row r="69" spans="1:26" ht="54.95" customHeight="1">
      <c r="A69" s="209">
        <v>66</v>
      </c>
      <c r="B69" s="232" t="s">
        <v>245</v>
      </c>
      <c r="C69" s="211">
        <v>1.1999999999999999E-3</v>
      </c>
      <c r="D69" s="212">
        <v>0</v>
      </c>
      <c r="E69" s="212">
        <v>0</v>
      </c>
      <c r="F69" s="212">
        <v>0</v>
      </c>
      <c r="G69" s="212">
        <v>1</v>
      </c>
      <c r="H69" s="212">
        <v>1</v>
      </c>
      <c r="I69" s="212">
        <v>4</v>
      </c>
      <c r="J69" s="213">
        <v>0</v>
      </c>
      <c r="K69" s="213">
        <v>0</v>
      </c>
      <c r="L69" s="213">
        <f t="shared" si="13"/>
        <v>0</v>
      </c>
      <c r="M69" s="214">
        <f t="shared" si="14"/>
        <v>0</v>
      </c>
      <c r="N69" s="122">
        <f t="shared" si="15"/>
        <v>0</v>
      </c>
      <c r="O69" s="122">
        <f t="shared" si="16"/>
        <v>0</v>
      </c>
      <c r="P69" s="122">
        <f t="shared" ref="P69:P72" si="22">J69*F69*C69/$A$2</f>
        <v>0</v>
      </c>
      <c r="Q69" s="122">
        <f t="shared" si="17"/>
        <v>0</v>
      </c>
      <c r="R69" s="122">
        <f t="shared" si="18"/>
        <v>0</v>
      </c>
      <c r="S69" s="122">
        <f t="shared" si="19"/>
        <v>0</v>
      </c>
      <c r="T69" s="122">
        <f t="shared" si="20"/>
        <v>0</v>
      </c>
      <c r="U69" s="122">
        <f t="shared" si="21"/>
        <v>0</v>
      </c>
      <c r="V69" s="30">
        <f t="shared" ref="V69:V72" si="23">((L69/15)*((I69+H69)-2))</f>
        <v>0</v>
      </c>
      <c r="W69" s="30">
        <f t="shared" ref="W69:W72" si="24">((M69/15)*((I69+H69)-2))</f>
        <v>0</v>
      </c>
      <c r="X69" s="30">
        <f t="shared" ref="X69:Y72" si="25">L69*(V69/(V69-0.0000001))</f>
        <v>0</v>
      </c>
      <c r="Y69" s="30">
        <f t="shared" si="25"/>
        <v>0</v>
      </c>
      <c r="Z69" s="2"/>
    </row>
    <row r="70" spans="1:26" ht="54.95" customHeight="1">
      <c r="A70" s="209">
        <v>67</v>
      </c>
      <c r="B70" s="232" t="s">
        <v>246</v>
      </c>
      <c r="C70" s="211">
        <v>6.0000000000000001E-3</v>
      </c>
      <c r="D70" s="212">
        <v>0</v>
      </c>
      <c r="E70" s="212">
        <v>0</v>
      </c>
      <c r="F70" s="212">
        <v>0</v>
      </c>
      <c r="G70" s="212">
        <v>1</v>
      </c>
      <c r="H70" s="212">
        <v>1</v>
      </c>
      <c r="I70" s="212">
        <v>4</v>
      </c>
      <c r="J70" s="213">
        <v>0</v>
      </c>
      <c r="K70" s="213">
        <v>0</v>
      </c>
      <c r="L70" s="213">
        <f t="shared" si="13"/>
        <v>0</v>
      </c>
      <c r="M70" s="214">
        <f t="shared" si="14"/>
        <v>0</v>
      </c>
      <c r="N70" s="122">
        <f t="shared" si="15"/>
        <v>0</v>
      </c>
      <c r="O70" s="122">
        <f t="shared" si="16"/>
        <v>0</v>
      </c>
      <c r="P70" s="122">
        <f t="shared" si="22"/>
        <v>0</v>
      </c>
      <c r="Q70" s="122">
        <f t="shared" si="17"/>
        <v>0</v>
      </c>
      <c r="R70" s="122">
        <f t="shared" si="18"/>
        <v>0</v>
      </c>
      <c r="S70" s="122">
        <f t="shared" si="19"/>
        <v>0</v>
      </c>
      <c r="T70" s="122">
        <f t="shared" si="20"/>
        <v>0</v>
      </c>
      <c r="U70" s="122">
        <f t="shared" si="21"/>
        <v>0</v>
      </c>
      <c r="V70" s="30">
        <f t="shared" si="23"/>
        <v>0</v>
      </c>
      <c r="W70" s="30">
        <f t="shared" si="24"/>
        <v>0</v>
      </c>
      <c r="X70" s="30">
        <f t="shared" si="25"/>
        <v>0</v>
      </c>
      <c r="Y70" s="30">
        <f t="shared" si="25"/>
        <v>0</v>
      </c>
      <c r="Z70" s="2"/>
    </row>
    <row r="71" spans="1:26" ht="54.95" customHeight="1">
      <c r="A71" s="209">
        <v>68</v>
      </c>
      <c r="B71" s="232" t="s">
        <v>247</v>
      </c>
      <c r="C71" s="211">
        <v>8.0000000000000002E-3</v>
      </c>
      <c r="D71" s="212">
        <v>0</v>
      </c>
      <c r="E71" s="212">
        <v>0</v>
      </c>
      <c r="F71" s="212">
        <v>0</v>
      </c>
      <c r="G71" s="212">
        <v>1</v>
      </c>
      <c r="H71" s="212">
        <v>1</v>
      </c>
      <c r="I71" s="212">
        <v>4</v>
      </c>
      <c r="J71" s="213">
        <v>0</v>
      </c>
      <c r="K71" s="213">
        <v>0</v>
      </c>
      <c r="L71" s="213">
        <f t="shared" si="13"/>
        <v>0</v>
      </c>
      <c r="M71" s="214">
        <f t="shared" si="14"/>
        <v>0</v>
      </c>
      <c r="N71" s="122">
        <f t="shared" si="15"/>
        <v>0</v>
      </c>
      <c r="O71" s="122">
        <f t="shared" si="16"/>
        <v>0</v>
      </c>
      <c r="P71" s="122">
        <f t="shared" si="22"/>
        <v>0</v>
      </c>
      <c r="Q71" s="122">
        <f t="shared" si="17"/>
        <v>0</v>
      </c>
      <c r="R71" s="122">
        <f t="shared" si="18"/>
        <v>0</v>
      </c>
      <c r="S71" s="122">
        <f t="shared" si="19"/>
        <v>0</v>
      </c>
      <c r="T71" s="122">
        <f t="shared" si="20"/>
        <v>0</v>
      </c>
      <c r="U71" s="122">
        <f t="shared" si="21"/>
        <v>0</v>
      </c>
      <c r="V71" s="30">
        <f t="shared" si="23"/>
        <v>0</v>
      </c>
      <c r="W71" s="30">
        <f t="shared" si="24"/>
        <v>0</v>
      </c>
      <c r="X71" s="30">
        <f t="shared" si="25"/>
        <v>0</v>
      </c>
      <c r="Y71" s="30">
        <f t="shared" si="25"/>
        <v>0</v>
      </c>
      <c r="Z71" s="2"/>
    </row>
    <row r="72" spans="1:26" ht="54.95" customHeight="1">
      <c r="A72" s="209">
        <v>69</v>
      </c>
      <c r="B72" s="232" t="s">
        <v>552</v>
      </c>
      <c r="C72" s="211">
        <v>6</v>
      </c>
      <c r="D72" s="212">
        <v>0</v>
      </c>
      <c r="E72" s="212">
        <v>1</v>
      </c>
      <c r="F72" s="212">
        <v>0</v>
      </c>
      <c r="G72" s="212">
        <v>1</v>
      </c>
      <c r="H72" s="212">
        <v>4</v>
      </c>
      <c r="I72" s="212">
        <v>4</v>
      </c>
      <c r="J72" s="213">
        <v>0</v>
      </c>
      <c r="K72" s="213">
        <v>0</v>
      </c>
      <c r="L72" s="213">
        <f t="shared" si="13"/>
        <v>0</v>
      </c>
      <c r="M72" s="214">
        <f t="shared" si="14"/>
        <v>0</v>
      </c>
      <c r="N72" s="122">
        <f t="shared" si="15"/>
        <v>0</v>
      </c>
      <c r="O72" s="122">
        <f t="shared" si="16"/>
        <v>0</v>
      </c>
      <c r="P72" s="122">
        <f t="shared" si="22"/>
        <v>0</v>
      </c>
      <c r="Q72" s="122">
        <f t="shared" si="17"/>
        <v>0</v>
      </c>
      <c r="R72" s="122">
        <f t="shared" si="18"/>
        <v>0</v>
      </c>
      <c r="S72" s="122">
        <f t="shared" si="19"/>
        <v>0</v>
      </c>
      <c r="T72" s="122">
        <f t="shared" si="20"/>
        <v>0</v>
      </c>
      <c r="U72" s="122">
        <f t="shared" si="21"/>
        <v>0</v>
      </c>
      <c r="V72" s="30">
        <f t="shared" si="23"/>
        <v>0</v>
      </c>
      <c r="W72" s="30">
        <f t="shared" si="24"/>
        <v>0</v>
      </c>
      <c r="X72" s="30">
        <f t="shared" si="25"/>
        <v>0</v>
      </c>
      <c r="Y72" s="30">
        <f t="shared" si="25"/>
        <v>0</v>
      </c>
      <c r="Z72" s="2"/>
    </row>
    <row r="73" spans="1:26" ht="54.95" customHeight="1">
      <c r="A73" s="377" t="s">
        <v>158</v>
      </c>
      <c r="B73" s="377"/>
      <c r="C73" s="378" t="s">
        <v>553</v>
      </c>
      <c r="D73" s="378"/>
      <c r="E73" s="378"/>
      <c r="F73" s="378"/>
      <c r="G73" s="378"/>
      <c r="H73" s="378"/>
      <c r="I73" s="378"/>
      <c r="J73" s="378"/>
      <c r="K73" s="378"/>
      <c r="L73" s="239">
        <f t="shared" ref="L73:Y73" si="26">SUM(L4:L72)</f>
        <v>0</v>
      </c>
      <c r="M73" s="239">
        <f t="shared" si="26"/>
        <v>0</v>
      </c>
      <c r="N73" s="127">
        <f t="shared" si="26"/>
        <v>0</v>
      </c>
      <c r="O73" s="127">
        <f t="shared" si="26"/>
        <v>0</v>
      </c>
      <c r="P73" s="127">
        <f t="shared" si="26"/>
        <v>0</v>
      </c>
      <c r="Q73" s="127">
        <f t="shared" si="26"/>
        <v>0</v>
      </c>
      <c r="R73" s="127">
        <f t="shared" si="26"/>
        <v>0</v>
      </c>
      <c r="S73" s="127">
        <f t="shared" si="26"/>
        <v>0</v>
      </c>
      <c r="T73" s="127">
        <f t="shared" si="26"/>
        <v>0</v>
      </c>
      <c r="U73" s="127">
        <f t="shared" si="26"/>
        <v>0</v>
      </c>
      <c r="V73" s="127">
        <f t="shared" si="26"/>
        <v>0</v>
      </c>
      <c r="W73" s="127">
        <f t="shared" si="26"/>
        <v>0</v>
      </c>
      <c r="X73" s="127">
        <f t="shared" si="26"/>
        <v>0</v>
      </c>
      <c r="Y73" s="127">
        <f t="shared" si="26"/>
        <v>0</v>
      </c>
      <c r="Z73" s="2"/>
    </row>
    <row r="74" spans="1:26" ht="54.95" customHeight="1">
      <c r="A74" s="379" t="s">
        <v>160</v>
      </c>
      <c r="B74" s="379"/>
      <c r="C74" s="379"/>
      <c r="D74" s="379"/>
      <c r="E74" s="379"/>
      <c r="F74" s="379"/>
      <c r="G74" s="379"/>
      <c r="H74" s="379"/>
      <c r="I74" s="379"/>
      <c r="J74" s="379"/>
      <c r="K74" s="379"/>
      <c r="L74" s="379"/>
      <c r="M74" s="216">
        <v>2</v>
      </c>
      <c r="Z74" s="124"/>
    </row>
    <row r="75" spans="1:26" ht="54.95" customHeight="1"/>
    <row r="76" spans="1:26" ht="54.95" customHeight="1"/>
    <row r="77" spans="1:26" ht="54.95" customHeight="1"/>
    <row r="78" spans="1:26" ht="54.95" customHeight="1"/>
    <row r="79" spans="1:26" ht="54.95" customHeight="1"/>
    <row r="80" spans="1:26" ht="54.95" customHeight="1"/>
    <row r="81" ht="54.95" customHeight="1"/>
    <row r="82" ht="54.95" customHeight="1"/>
    <row r="83" ht="54.95" customHeight="1"/>
    <row r="84" ht="54.95" customHeight="1"/>
    <row r="85" ht="54.95" customHeight="1"/>
    <row r="86" ht="54.95" customHeight="1"/>
    <row r="87" ht="54.95" customHeight="1"/>
    <row r="88" ht="54.95" customHeight="1"/>
    <row r="89" ht="54.95" customHeight="1"/>
    <row r="90" ht="54.95" customHeight="1"/>
    <row r="91" ht="54.95" customHeight="1"/>
    <row r="92" ht="54.95" customHeight="1"/>
    <row r="93" ht="54.95" customHeight="1"/>
    <row r="94" ht="54.95" customHeight="1"/>
    <row r="95" ht="54.95" customHeight="1"/>
    <row r="96" ht="54.95" customHeight="1"/>
    <row r="97" ht="54.95" customHeight="1"/>
    <row r="98" ht="54.95" customHeight="1"/>
    <row r="99" ht="54.95" customHeight="1"/>
    <row r="100" ht="54.95" customHeight="1"/>
    <row r="101" ht="54.95" customHeight="1"/>
    <row r="102" ht="54.95" customHeight="1"/>
    <row r="103" ht="54.95" customHeight="1"/>
    <row r="104" ht="54.95" customHeight="1"/>
    <row r="105" ht="54.95" customHeight="1"/>
    <row r="106" ht="54.95" customHeight="1"/>
    <row r="107" ht="54.95" customHeight="1"/>
    <row r="108" ht="54.95" customHeight="1"/>
    <row r="109" ht="54.95" customHeight="1"/>
    <row r="110" ht="54.95" customHeight="1"/>
    <row r="111" ht="54.95" customHeight="1"/>
    <row r="112" ht="54.95" customHeight="1"/>
    <row r="113" ht="54.95" customHeight="1"/>
    <row r="114" ht="54.95" customHeight="1"/>
    <row r="115" ht="54.95" customHeight="1"/>
    <row r="116" ht="54.95" customHeight="1"/>
    <row r="117" ht="54.95" customHeight="1"/>
    <row r="118" ht="54.95" customHeight="1"/>
    <row r="119" ht="54.95" customHeight="1"/>
    <row r="120" ht="54.95" customHeight="1"/>
    <row r="121" ht="54.95" customHeight="1"/>
    <row r="122" ht="54.95" customHeight="1"/>
    <row r="123" ht="54.95" customHeight="1"/>
    <row r="124" ht="54.95" customHeight="1"/>
    <row r="125" ht="54.95" customHeight="1"/>
    <row r="126" ht="54.95" customHeight="1"/>
    <row r="127" ht="54.95" customHeight="1"/>
    <row r="128" ht="54.95" customHeight="1"/>
    <row r="129" ht="54.95" customHeight="1"/>
    <row r="130" ht="54.95" customHeight="1"/>
    <row r="131" ht="54.95" customHeight="1"/>
    <row r="132" ht="54.95" customHeight="1"/>
    <row r="133" ht="54.95" customHeight="1"/>
    <row r="134" ht="54.95" customHeight="1"/>
    <row r="135" ht="54.95" customHeight="1"/>
    <row r="136" ht="54.95" customHeight="1"/>
    <row r="137" ht="54.95" customHeight="1"/>
    <row r="138" ht="54.95" customHeight="1"/>
    <row r="139" ht="54.95" customHeight="1"/>
    <row r="140" ht="54.95" customHeight="1"/>
    <row r="141" ht="54.95" customHeight="1"/>
    <row r="142" ht="54.95" customHeight="1"/>
    <row r="143" ht="54.95" customHeight="1"/>
    <row r="144" ht="54.95" customHeight="1"/>
    <row r="145" ht="54.95" customHeight="1"/>
    <row r="146" ht="54.95" customHeight="1"/>
    <row r="147" ht="54.95" customHeight="1"/>
    <row r="148" ht="54.95" customHeight="1"/>
    <row r="149" ht="54.95" customHeight="1"/>
    <row r="150" ht="54.95" customHeight="1"/>
    <row r="151" ht="54.95" customHeight="1"/>
    <row r="152" ht="54.95" customHeight="1"/>
    <row r="153" ht="54.95" customHeight="1"/>
    <row r="154" ht="54.95" customHeight="1"/>
    <row r="155" ht="54.95" customHeight="1"/>
    <row r="156" ht="54.95" customHeight="1"/>
    <row r="157" ht="54.95" customHeight="1"/>
    <row r="158" ht="54.95" customHeight="1"/>
    <row r="159" ht="54.95" customHeight="1"/>
    <row r="160" ht="54.95" customHeight="1"/>
    <row r="161" ht="54.95" customHeight="1"/>
    <row r="162" ht="54.95" customHeight="1"/>
    <row r="163" ht="54.95" customHeight="1"/>
    <row r="164" ht="54.95" customHeight="1"/>
    <row r="165" ht="54.95" customHeight="1"/>
    <row r="166" ht="54.95" customHeight="1"/>
    <row r="167" ht="54.95" customHeight="1"/>
    <row r="168" ht="54.95" customHeight="1"/>
    <row r="169" ht="54.95" customHeight="1"/>
    <row r="170" ht="54.95" customHeight="1"/>
    <row r="171" ht="54.95" customHeight="1"/>
    <row r="172" ht="54.95" customHeight="1"/>
    <row r="173" ht="54.95" customHeight="1"/>
    <row r="174" ht="54.95" customHeight="1"/>
    <row r="175" ht="54.95" customHeight="1"/>
    <row r="176" ht="54.95" customHeight="1"/>
    <row r="177" spans="1:26" ht="54.95" customHeight="1"/>
    <row r="178" spans="1:26" ht="54.95" customHeight="1"/>
    <row r="179" spans="1:26" ht="54.95" customHeight="1"/>
    <row r="180" spans="1:26" ht="54.95" customHeight="1"/>
    <row r="181" spans="1:26" ht="54.95" customHeight="1"/>
    <row r="182" spans="1:26" ht="54.95" customHeight="1"/>
    <row r="183" spans="1:26" s="2" customFormat="1" ht="54.95" customHeight="1">
      <c r="A183" s="3"/>
      <c r="B183" s="3"/>
      <c r="C183" s="125"/>
      <c r="D183" s="126"/>
      <c r="E183" s="126"/>
      <c r="F183" s="126"/>
      <c r="G183" s="126"/>
      <c r="H183" s="126"/>
      <c r="I183" s="126"/>
      <c r="J183" s="3"/>
      <c r="K183" s="3"/>
      <c r="L183" s="3"/>
      <c r="N183" s="29"/>
      <c r="O183" s="29"/>
      <c r="P183" s="29"/>
      <c r="Q183" s="29"/>
      <c r="R183" s="29"/>
      <c r="S183" s="29"/>
      <c r="T183" s="29"/>
      <c r="U183" s="29"/>
      <c r="V183" s="29"/>
      <c r="W183" s="29"/>
      <c r="X183" s="30"/>
      <c r="Y183" s="30"/>
      <c r="Z183" s="121"/>
    </row>
    <row r="184" spans="1:26" s="2" customFormat="1" ht="54.95" customHeight="1">
      <c r="A184" s="3"/>
      <c r="B184" s="3"/>
      <c r="C184" s="125"/>
      <c r="D184" s="126"/>
      <c r="E184" s="126"/>
      <c r="F184" s="126"/>
      <c r="G184" s="126"/>
      <c r="H184" s="126"/>
      <c r="I184" s="126"/>
      <c r="J184" s="3"/>
      <c r="K184" s="3"/>
      <c r="L184" s="3"/>
      <c r="N184" s="29"/>
      <c r="O184" s="29"/>
      <c r="P184" s="29"/>
      <c r="Q184" s="29"/>
      <c r="R184" s="29"/>
      <c r="S184" s="29"/>
      <c r="T184" s="29"/>
      <c r="U184" s="29"/>
      <c r="V184" s="29"/>
      <c r="W184" s="29"/>
      <c r="X184" s="30"/>
      <c r="Y184" s="30"/>
      <c r="Z184" s="121"/>
    </row>
    <row r="185" spans="1:26" s="2" customFormat="1" ht="54.95" customHeight="1">
      <c r="A185" s="3"/>
      <c r="B185" s="3"/>
      <c r="C185" s="125"/>
      <c r="D185" s="126"/>
      <c r="E185" s="126"/>
      <c r="F185" s="126"/>
      <c r="G185" s="126"/>
      <c r="H185" s="126"/>
      <c r="I185" s="126"/>
      <c r="J185" s="3"/>
      <c r="K185" s="3"/>
      <c r="L185" s="3"/>
      <c r="N185" s="29"/>
      <c r="O185" s="29"/>
      <c r="P185" s="29"/>
      <c r="Q185" s="29"/>
      <c r="R185" s="29"/>
      <c r="S185" s="29"/>
      <c r="T185" s="29"/>
      <c r="U185" s="29"/>
      <c r="V185" s="29"/>
      <c r="W185" s="29"/>
      <c r="X185" s="30"/>
      <c r="Y185" s="30"/>
      <c r="Z185" s="121"/>
    </row>
    <row r="186" spans="1:26" s="2" customFormat="1" ht="54.95" customHeight="1">
      <c r="A186" s="3"/>
      <c r="B186" s="3"/>
      <c r="C186" s="125"/>
      <c r="D186" s="126"/>
      <c r="E186" s="126"/>
      <c r="F186" s="126"/>
      <c r="G186" s="126"/>
      <c r="H186" s="126"/>
      <c r="I186" s="126"/>
      <c r="J186" s="3"/>
      <c r="K186" s="3"/>
      <c r="L186" s="3"/>
      <c r="N186" s="29"/>
      <c r="O186" s="29"/>
      <c r="P186" s="29"/>
      <c r="Q186" s="29"/>
      <c r="R186" s="29"/>
      <c r="S186" s="29"/>
      <c r="T186" s="29"/>
      <c r="U186" s="29"/>
      <c r="V186" s="29"/>
      <c r="W186" s="29"/>
      <c r="X186" s="30"/>
      <c r="Y186" s="30"/>
      <c r="Z186" s="121"/>
    </row>
    <row r="187" spans="1:26" s="2" customFormat="1" ht="54.95" customHeight="1">
      <c r="A187" s="3"/>
      <c r="B187" s="3"/>
      <c r="C187" s="125"/>
      <c r="D187" s="126"/>
      <c r="E187" s="126"/>
      <c r="F187" s="126"/>
      <c r="G187" s="126"/>
      <c r="H187" s="126"/>
      <c r="I187" s="126"/>
      <c r="J187" s="3"/>
      <c r="K187" s="3"/>
      <c r="L187" s="3"/>
      <c r="N187" s="29"/>
      <c r="O187" s="29"/>
      <c r="P187" s="29"/>
      <c r="Q187" s="29"/>
      <c r="R187" s="29"/>
      <c r="S187" s="29"/>
      <c r="T187" s="29"/>
      <c r="U187" s="29"/>
      <c r="V187" s="29"/>
      <c r="W187" s="29"/>
      <c r="X187" s="30"/>
      <c r="Y187" s="30"/>
      <c r="Z187" s="121"/>
    </row>
    <row r="188" spans="1:26" s="2" customFormat="1" ht="54.95" customHeight="1">
      <c r="A188" s="3"/>
      <c r="B188" s="3"/>
      <c r="C188" s="125"/>
      <c r="D188" s="126"/>
      <c r="E188" s="126"/>
      <c r="F188" s="126"/>
      <c r="G188" s="126"/>
      <c r="H188" s="126"/>
      <c r="I188" s="126"/>
      <c r="J188" s="3"/>
      <c r="K188" s="3"/>
      <c r="L188" s="3"/>
      <c r="N188" s="29"/>
      <c r="O188" s="29"/>
      <c r="P188" s="29"/>
      <c r="Q188" s="29"/>
      <c r="R188" s="29"/>
      <c r="S188" s="29"/>
      <c r="T188" s="29"/>
      <c r="U188" s="29"/>
      <c r="V188" s="29"/>
      <c r="W188" s="29"/>
      <c r="X188" s="30"/>
      <c r="Y188" s="30"/>
      <c r="Z188" s="121"/>
    </row>
    <row r="189" spans="1:26" s="2" customFormat="1" ht="54.95" customHeight="1">
      <c r="C189" s="135"/>
      <c r="D189" s="136"/>
      <c r="E189" s="136"/>
      <c r="F189" s="136"/>
      <c r="G189" s="136"/>
      <c r="H189" s="136"/>
      <c r="I189" s="136"/>
      <c r="N189" s="124"/>
      <c r="O189" s="124"/>
      <c r="P189" s="124"/>
      <c r="Q189" s="124"/>
      <c r="R189" s="124"/>
      <c r="S189" s="124"/>
      <c r="T189" s="124"/>
      <c r="U189" s="124"/>
      <c r="V189" s="124"/>
      <c r="W189" s="124"/>
      <c r="X189" s="121"/>
      <c r="Y189" s="121"/>
      <c r="Z189" s="121"/>
    </row>
    <row r="190" spans="1:26" s="15" customFormat="1" ht="54.95" hidden="1" customHeight="1">
      <c r="B190" s="15" t="str">
        <f>A73</f>
        <v>كميت سنجه عملكرد همسان شده :</v>
      </c>
      <c r="C190" s="128" t="s">
        <v>161</v>
      </c>
      <c r="D190" s="129">
        <f>L73*[15]روکش!$D$3</f>
        <v>0</v>
      </c>
      <c r="E190" s="129"/>
      <c r="F190" s="129"/>
      <c r="G190" s="129"/>
      <c r="H190" s="129"/>
      <c r="I190" s="129"/>
      <c r="N190" s="29"/>
      <c r="O190" s="29"/>
      <c r="P190" s="29"/>
      <c r="Q190" s="29"/>
      <c r="R190" s="29"/>
      <c r="S190" s="29"/>
      <c r="T190" s="29"/>
      <c r="U190" s="29"/>
      <c r="V190" s="29"/>
      <c r="W190" s="29"/>
      <c r="X190" s="30"/>
      <c r="Y190" s="30"/>
      <c r="Z190" s="30"/>
    </row>
    <row r="191" spans="1:26" s="15" customFormat="1" ht="54.95" hidden="1" customHeight="1">
      <c r="C191" s="128" t="s">
        <v>162</v>
      </c>
      <c r="D191" s="129">
        <f>M73*[15]روکش!D$3</f>
        <v>0</v>
      </c>
      <c r="E191" s="129"/>
      <c r="F191" s="129"/>
      <c r="G191" s="129"/>
      <c r="H191" s="129"/>
      <c r="I191" s="129"/>
      <c r="N191" s="29"/>
      <c r="O191" s="29"/>
      <c r="P191" s="29"/>
      <c r="Q191" s="29"/>
      <c r="R191" s="29"/>
      <c r="S191" s="29"/>
      <c r="T191" s="29"/>
      <c r="U191" s="29"/>
      <c r="V191" s="29"/>
      <c r="W191" s="29"/>
      <c r="X191" s="30"/>
      <c r="Y191" s="30"/>
      <c r="Z191" s="30"/>
    </row>
    <row r="192" spans="1:26" s="2" customFormat="1" ht="54.95" customHeight="1">
      <c r="C192" s="135"/>
      <c r="D192" s="136"/>
      <c r="E192" s="136"/>
      <c r="F192" s="136"/>
      <c r="G192" s="136"/>
      <c r="H192" s="136"/>
      <c r="I192" s="136"/>
      <c r="N192" s="124"/>
      <c r="O192" s="124"/>
      <c r="P192" s="124"/>
      <c r="Q192" s="124"/>
      <c r="R192" s="124"/>
      <c r="S192" s="124"/>
      <c r="T192" s="124"/>
      <c r="U192" s="124"/>
      <c r="V192" s="124"/>
      <c r="W192" s="124"/>
      <c r="X192" s="121"/>
      <c r="Y192" s="121"/>
      <c r="Z192" s="121"/>
    </row>
    <row r="193" spans="1:26" s="2" customFormat="1" ht="54.95" customHeight="1">
      <c r="A193" s="3"/>
      <c r="B193" s="3"/>
      <c r="C193" s="125"/>
      <c r="D193" s="126"/>
      <c r="E193" s="126"/>
      <c r="F193" s="126"/>
      <c r="G193" s="126"/>
      <c r="H193" s="126"/>
      <c r="I193" s="126"/>
      <c r="J193" s="3"/>
      <c r="K193" s="3"/>
      <c r="L193" s="3"/>
      <c r="N193" s="29"/>
      <c r="O193" s="29"/>
      <c r="P193" s="29"/>
      <c r="Q193" s="29"/>
      <c r="R193" s="29"/>
      <c r="S193" s="29"/>
      <c r="T193" s="29"/>
      <c r="U193" s="29"/>
      <c r="V193" s="29"/>
      <c r="W193" s="29"/>
      <c r="X193" s="30"/>
      <c r="Y193" s="30"/>
      <c r="Z193" s="121"/>
    </row>
    <row r="194" spans="1:26" s="2" customFormat="1" ht="54.95" customHeight="1">
      <c r="A194" s="3"/>
      <c r="B194" s="3"/>
      <c r="C194" s="125"/>
      <c r="D194" s="126"/>
      <c r="E194" s="126"/>
      <c r="F194" s="126"/>
      <c r="G194" s="126"/>
      <c r="H194" s="126"/>
      <c r="I194" s="126"/>
      <c r="J194" s="3"/>
      <c r="K194" s="3"/>
      <c r="L194" s="3"/>
      <c r="N194" s="29"/>
      <c r="O194" s="29"/>
      <c r="P194" s="29"/>
      <c r="Q194" s="29"/>
      <c r="R194" s="29"/>
      <c r="S194" s="29"/>
      <c r="T194" s="29"/>
      <c r="U194" s="29"/>
      <c r="V194" s="29"/>
      <c r="W194" s="29"/>
      <c r="X194" s="30"/>
      <c r="Y194" s="30"/>
      <c r="Z194" s="121"/>
    </row>
    <row r="195" spans="1:26" s="2" customFormat="1" ht="54.95" customHeight="1">
      <c r="A195" s="3"/>
      <c r="B195" s="3"/>
      <c r="C195" s="125"/>
      <c r="D195" s="126"/>
      <c r="E195" s="126"/>
      <c r="F195" s="126"/>
      <c r="G195" s="126"/>
      <c r="H195" s="126"/>
      <c r="I195" s="126"/>
      <c r="J195" s="3"/>
      <c r="K195" s="3"/>
      <c r="L195" s="3"/>
      <c r="N195" s="29"/>
      <c r="O195" s="29"/>
      <c r="P195" s="29"/>
      <c r="Q195" s="29"/>
      <c r="R195" s="29"/>
      <c r="S195" s="29"/>
      <c r="T195" s="29"/>
      <c r="U195" s="29"/>
      <c r="V195" s="29"/>
      <c r="W195" s="29"/>
      <c r="X195" s="30"/>
      <c r="Y195" s="30"/>
      <c r="Z195" s="121"/>
    </row>
    <row r="196" spans="1:26" s="2" customFormat="1" ht="54.95" customHeight="1">
      <c r="A196" s="3"/>
      <c r="B196" s="3"/>
      <c r="C196" s="125"/>
      <c r="D196" s="126"/>
      <c r="E196" s="126"/>
      <c r="F196" s="126"/>
      <c r="G196" s="126"/>
      <c r="H196" s="126"/>
      <c r="I196" s="126"/>
      <c r="J196" s="3"/>
      <c r="K196" s="3"/>
      <c r="L196" s="3"/>
      <c r="N196" s="29"/>
      <c r="O196" s="29"/>
      <c r="P196" s="29"/>
      <c r="Q196" s="29"/>
      <c r="R196" s="29"/>
      <c r="S196" s="29"/>
      <c r="T196" s="29"/>
      <c r="U196" s="29"/>
      <c r="V196" s="29"/>
      <c r="W196" s="29"/>
      <c r="X196" s="30"/>
      <c r="Y196" s="30"/>
      <c r="Z196" s="121"/>
    </row>
    <row r="197" spans="1:26" s="2" customFormat="1" ht="54.95" customHeight="1">
      <c r="A197" s="3"/>
      <c r="B197" s="3"/>
      <c r="C197" s="125"/>
      <c r="D197" s="126"/>
      <c r="E197" s="126"/>
      <c r="F197" s="126"/>
      <c r="G197" s="126"/>
      <c r="H197" s="126"/>
      <c r="I197" s="126"/>
      <c r="J197" s="3"/>
      <c r="K197" s="3"/>
      <c r="L197" s="3"/>
      <c r="N197" s="29"/>
      <c r="O197" s="29"/>
      <c r="P197" s="29"/>
      <c r="Q197" s="29"/>
      <c r="R197" s="29"/>
      <c r="S197" s="29"/>
      <c r="T197" s="29"/>
      <c r="U197" s="29"/>
      <c r="V197" s="29"/>
      <c r="W197" s="29"/>
      <c r="X197" s="30"/>
      <c r="Y197" s="30"/>
      <c r="Z197" s="121"/>
    </row>
    <row r="198" spans="1:26" s="2" customFormat="1" ht="54.95" customHeight="1">
      <c r="A198" s="3"/>
      <c r="B198" s="3"/>
      <c r="C198" s="125"/>
      <c r="D198" s="126"/>
      <c r="E198" s="126"/>
      <c r="F198" s="126"/>
      <c r="G198" s="126"/>
      <c r="H198" s="126"/>
      <c r="I198" s="126"/>
      <c r="J198" s="3"/>
      <c r="K198" s="3"/>
      <c r="L198" s="3"/>
      <c r="N198" s="29"/>
      <c r="O198" s="29"/>
      <c r="P198" s="29"/>
      <c r="Q198" s="29"/>
      <c r="R198" s="29"/>
      <c r="S198" s="29"/>
      <c r="T198" s="29"/>
      <c r="U198" s="29"/>
      <c r="V198" s="29"/>
      <c r="W198" s="29"/>
      <c r="X198" s="30"/>
      <c r="Y198" s="30"/>
      <c r="Z198" s="121"/>
    </row>
    <row r="199" spans="1:26" ht="54.95" customHeight="1"/>
    <row r="200" spans="1:26" ht="54.95" customHeight="1"/>
    <row r="201" spans="1:26" ht="54.95" customHeight="1"/>
    <row r="202" spans="1:26" ht="54.95" customHeight="1"/>
    <row r="203" spans="1:26" ht="54.95" customHeight="1"/>
    <row r="204" spans="1:26" ht="54.95" customHeight="1"/>
    <row r="205" spans="1:26" ht="54.95" customHeight="1"/>
    <row r="206" spans="1:26" ht="54.95" customHeight="1"/>
    <row r="207" spans="1:26" ht="54.95" customHeight="1"/>
    <row r="208" spans="1:26" ht="54.95" customHeight="1"/>
    <row r="209" ht="54.95" customHeight="1"/>
    <row r="210" ht="54.95" customHeight="1"/>
    <row r="211" ht="54.95" customHeight="1"/>
    <row r="212" ht="54.95" customHeight="1"/>
    <row r="213" ht="54.95" customHeight="1"/>
    <row r="214" ht="54.95" customHeight="1"/>
    <row r="215" ht="54.95" customHeight="1"/>
    <row r="216" ht="54.95" customHeight="1"/>
    <row r="217" ht="54.95" customHeight="1"/>
    <row r="218" ht="54.95" customHeight="1"/>
    <row r="219" ht="54.95" customHeight="1"/>
    <row r="220" ht="54.95" customHeight="1"/>
    <row r="221" ht="54.95" customHeight="1"/>
    <row r="222" ht="54.95" customHeight="1"/>
    <row r="223" ht="54.95" customHeight="1"/>
    <row r="224" ht="54.95" customHeight="1"/>
    <row r="225" ht="54.95" customHeight="1"/>
    <row r="226" ht="54.95" customHeight="1"/>
    <row r="227" ht="54.95" customHeight="1"/>
    <row r="228" ht="54.95" customHeight="1"/>
    <row r="229" ht="54.95" customHeight="1"/>
    <row r="230" ht="54.95" customHeight="1"/>
    <row r="231" ht="54.95" customHeight="1"/>
    <row r="232" ht="54.95" customHeight="1"/>
    <row r="233" ht="54.95" customHeight="1"/>
    <row r="234" ht="54.95" customHeight="1"/>
    <row r="235" ht="54.95" customHeight="1"/>
    <row r="236" ht="54.95" customHeight="1"/>
    <row r="237" ht="54.95" customHeight="1"/>
    <row r="238" ht="54.95" customHeight="1"/>
    <row r="239" ht="54.95" customHeight="1"/>
    <row r="240" ht="54.95" customHeight="1"/>
    <row r="241" ht="54.95" customHeight="1"/>
    <row r="242" ht="54.95" customHeight="1"/>
    <row r="243" ht="54.95" customHeight="1"/>
    <row r="244" ht="54.95" customHeight="1"/>
    <row r="245" ht="54.95" customHeight="1"/>
    <row r="246" ht="54.95" customHeight="1"/>
    <row r="247" ht="54.95" customHeight="1"/>
    <row r="248" ht="54.95" customHeight="1"/>
    <row r="249" ht="54.95" customHeight="1"/>
    <row r="250" ht="54.95" customHeight="1"/>
    <row r="251" ht="54.95" customHeight="1"/>
    <row r="252" ht="54.95" customHeight="1"/>
    <row r="253" ht="54.95" customHeight="1"/>
    <row r="254" ht="54.95" customHeight="1"/>
    <row r="255" ht="54.95" customHeight="1"/>
    <row r="256" ht="54.95" customHeight="1"/>
    <row r="257" ht="54.95" customHeight="1"/>
    <row r="258" ht="54.95" customHeight="1"/>
    <row r="259" ht="54.95" customHeight="1"/>
    <row r="260" ht="54.95" customHeight="1"/>
    <row r="261" ht="54.95" customHeight="1"/>
    <row r="262" ht="54.95" customHeight="1"/>
    <row r="263" ht="54.95" customHeight="1"/>
    <row r="264" ht="54.95" customHeight="1"/>
    <row r="265" ht="54.95" customHeight="1"/>
    <row r="266" ht="54.95" customHeight="1"/>
    <row r="267" ht="54.95" customHeight="1"/>
    <row r="268" ht="54.95" customHeight="1"/>
    <row r="269" ht="54.95" customHeight="1"/>
    <row r="270" ht="54.95" customHeight="1"/>
    <row r="271" ht="54.95" customHeight="1"/>
    <row r="272" ht="54.95" customHeight="1"/>
    <row r="273" ht="54.95" customHeight="1"/>
    <row r="274" ht="54.95" customHeight="1"/>
    <row r="275" ht="54.95" customHeight="1"/>
    <row r="276" ht="54.95" customHeight="1"/>
    <row r="277" ht="54.95" customHeight="1"/>
    <row r="278" ht="54.95" customHeight="1"/>
    <row r="279" ht="54.95" customHeight="1"/>
    <row r="280" ht="54.95" customHeight="1"/>
    <row r="281" ht="54.95" customHeight="1"/>
    <row r="282" ht="54.95" customHeight="1"/>
    <row r="283" ht="54.95" customHeight="1"/>
    <row r="284" ht="54.95" customHeight="1"/>
    <row r="285" ht="54.95" customHeight="1"/>
    <row r="286" ht="54.95" customHeight="1"/>
    <row r="287" ht="54.95" customHeight="1"/>
    <row r="288" ht="54.95" customHeight="1"/>
    <row r="289" ht="54.95" customHeight="1"/>
    <row r="290" ht="54.95" customHeight="1"/>
    <row r="291" ht="54.95" customHeight="1"/>
    <row r="292" ht="54.95" customHeight="1"/>
    <row r="293" ht="54.95" customHeight="1"/>
    <row r="294" ht="54.95" customHeight="1"/>
    <row r="295" ht="54.95" customHeight="1"/>
    <row r="296" ht="54.95" customHeight="1"/>
    <row r="297" ht="54.95" customHeight="1"/>
    <row r="298" ht="54.95" customHeight="1"/>
    <row r="299" ht="54.95" customHeight="1"/>
    <row r="300" ht="54.95" customHeight="1"/>
    <row r="301" ht="54.95" customHeight="1"/>
    <row r="302" ht="54.95" customHeight="1"/>
    <row r="303" ht="54.95" customHeight="1"/>
    <row r="304" ht="54.95" customHeight="1"/>
    <row r="305" ht="54.95" customHeight="1"/>
    <row r="306" ht="54.95" customHeight="1"/>
    <row r="307" ht="54.95" customHeight="1"/>
    <row r="308" ht="54.95" customHeight="1"/>
    <row r="309" ht="54.95" customHeight="1"/>
  </sheetData>
  <mergeCells count="13">
    <mergeCell ref="A73:B73"/>
    <mergeCell ref="C73:K73"/>
    <mergeCell ref="A74:L74"/>
    <mergeCell ref="A1:M1"/>
    <mergeCell ref="B2:B3"/>
    <mergeCell ref="C2:C3"/>
    <mergeCell ref="D2:G2"/>
    <mergeCell ref="H2:H3"/>
    <mergeCell ref="I2:I3"/>
    <mergeCell ref="J2:J3"/>
    <mergeCell ref="K2:K3"/>
    <mergeCell ref="L2:L3"/>
    <mergeCell ref="M2:M3"/>
  </mergeCells>
  <pageMargins left="0.7" right="0.7" top="0.75" bottom="0.75" header="0.3" footer="0.3"/>
  <pageSetup paperSize="9" scale="71" orientation="portrait" r:id="rId1"/>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rightToLeft="1" workbookViewId="0">
      <selection sqref="A1:C1"/>
    </sheetView>
  </sheetViews>
  <sheetFormatPr defaultRowHeight="27"/>
  <cols>
    <col min="1" max="1" width="18.33203125" style="60" customWidth="1"/>
    <col min="2" max="2" width="126.6640625" style="60" customWidth="1"/>
    <col min="3" max="3" width="18.33203125" style="60" customWidth="1"/>
    <col min="4" max="16384" width="9.33203125" style="60"/>
  </cols>
  <sheetData>
    <row r="1" spans="1:3" ht="67.5" customHeight="1">
      <c r="A1" s="387" t="s">
        <v>618</v>
      </c>
      <c r="B1" s="387"/>
      <c r="C1" s="387"/>
    </row>
    <row r="2" spans="1:3" s="62" customFormat="1" ht="35.1" customHeight="1">
      <c r="A2" s="388"/>
      <c r="B2" s="61" t="str">
        <f>'[15]سیاست ها و برنامه ها '!A1</f>
        <v xml:space="preserve"> اهداف کلی 1: تامین بهداشت و سلامت دام</v>
      </c>
      <c r="C2" s="389"/>
    </row>
    <row r="3" spans="1:3" s="62" customFormat="1" ht="35.1" customHeight="1">
      <c r="A3" s="388"/>
      <c r="B3" s="63" t="str">
        <f>'[15]سیاست ها و برنامه ها '!A2</f>
        <v xml:space="preserve">راهبرد 2-1: ارتقاء شاخص های کنترل بیماری های دام، طیور و آبزیان </v>
      </c>
      <c r="C3" s="389"/>
    </row>
    <row r="4" spans="1:3" s="62" customFormat="1" ht="35.1" customHeight="1">
      <c r="A4" s="388"/>
      <c r="B4" s="64" t="str">
        <f>CONCATENATE([15]روکش!A1," ",[15]روکش!B1)</f>
        <v xml:space="preserve"> عنوان هدف کمی: کاهش تلفات در گله های مرغ گوشتی و کاهش بروز بیماری ها در گله های صنعتی طیور</v>
      </c>
      <c r="C4" s="389"/>
    </row>
    <row r="5" spans="1:3" s="62" customFormat="1" ht="35.1" customHeight="1">
      <c r="A5" s="388"/>
      <c r="B5" s="64" t="str">
        <f>CONCATENATE([15]روکش!A2,"  ",[15]روکش!B2,"     ",[15]روکش!C2,"  ",[15]روکش!D2)</f>
        <v>عنوان سنجه عملکرد:   بازدید/نمونه برداری     شاخص سنجه:  2</v>
      </c>
      <c r="C5" s="389"/>
    </row>
    <row r="6" spans="1:3" s="62" customFormat="1" ht="35.1" customHeight="1">
      <c r="A6" s="388"/>
      <c r="B6" s="64" t="s">
        <v>559</v>
      </c>
      <c r="C6" s="389"/>
    </row>
    <row r="7" spans="1:3" s="62" customFormat="1" ht="35.1" customHeight="1">
      <c r="A7" s="388"/>
      <c r="B7" s="64" t="s">
        <v>560</v>
      </c>
      <c r="C7" s="389"/>
    </row>
    <row r="8" spans="1:3" ht="35.1" customHeight="1">
      <c r="A8" s="388"/>
      <c r="B8" s="65" t="s">
        <v>561</v>
      </c>
      <c r="C8" s="389"/>
    </row>
    <row r="9" spans="1:3" s="66" customFormat="1" ht="35.1" customHeight="1">
      <c r="A9" s="388"/>
      <c r="B9" s="63" t="s">
        <v>562</v>
      </c>
      <c r="C9" s="389"/>
    </row>
    <row r="10" spans="1:3" s="68" customFormat="1" ht="35.1" customHeight="1">
      <c r="A10" s="388"/>
      <c r="B10" s="67" t="s">
        <v>563</v>
      </c>
      <c r="C10" s="389"/>
    </row>
    <row r="11" spans="1:3" s="68" customFormat="1" ht="35.1" customHeight="1">
      <c r="A11" s="388"/>
      <c r="B11" s="67" t="s">
        <v>564</v>
      </c>
      <c r="C11" s="389"/>
    </row>
    <row r="12" spans="1:3" s="68" customFormat="1" ht="35.1" customHeight="1">
      <c r="A12" s="388"/>
      <c r="B12" s="144" t="s">
        <v>565</v>
      </c>
      <c r="C12" s="389"/>
    </row>
    <row r="13" spans="1:3" ht="71.25" customHeight="1">
      <c r="A13" s="390"/>
      <c r="B13" s="390"/>
      <c r="C13" s="390"/>
    </row>
    <row r="14" spans="1:3" ht="22.5" customHeight="1"/>
    <row r="15" spans="1:3" ht="22.5" customHeight="1"/>
  </sheetData>
  <dataConsolidate/>
  <mergeCells count="4">
    <mergeCell ref="A1:C1"/>
    <mergeCell ref="A2:A12"/>
    <mergeCell ref="C2:C12"/>
    <mergeCell ref="A13:C13"/>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2"/>
  <sheetViews>
    <sheetView showGridLines="0" rightToLeft="1" workbookViewId="0">
      <pane xSplit="11" topLeftCell="L1" activePane="topRight" state="frozen"/>
      <selection pane="topRight" activeCell="J3" sqref="J3"/>
    </sheetView>
  </sheetViews>
  <sheetFormatPr defaultRowHeight="18"/>
  <cols>
    <col min="1" max="1" width="12.83203125" customWidth="1"/>
    <col min="2" max="2" width="11.5" customWidth="1"/>
    <col min="3" max="3" width="50.6640625" customWidth="1"/>
    <col min="4" max="4" width="21.6640625" customWidth="1"/>
    <col min="5" max="5" width="12.83203125" customWidth="1"/>
    <col min="6" max="10" width="9.83203125" customWidth="1"/>
    <col min="11" max="11" width="12.83203125" customWidth="1"/>
    <col min="12" max="12" width="12.1640625" customWidth="1"/>
  </cols>
  <sheetData>
    <row r="1" spans="1:11" ht="52.5" customHeight="1">
      <c r="A1" s="416" t="s">
        <v>731</v>
      </c>
      <c r="B1" s="417"/>
      <c r="C1" s="417"/>
      <c r="D1" s="417"/>
      <c r="E1" s="417"/>
      <c r="F1" s="417"/>
      <c r="G1" s="417"/>
      <c r="H1" s="417"/>
      <c r="I1" s="417"/>
      <c r="J1" s="417"/>
      <c r="K1" s="418"/>
    </row>
    <row r="2" spans="1:11" ht="73.5" customHeight="1">
      <c r="A2" s="419"/>
      <c r="B2" s="217" t="s">
        <v>0</v>
      </c>
      <c r="C2" s="218" t="s">
        <v>633</v>
      </c>
      <c r="D2" s="219" t="s">
        <v>632</v>
      </c>
      <c r="E2" s="219">
        <v>1396</v>
      </c>
      <c r="F2" s="219">
        <v>1397</v>
      </c>
      <c r="G2" s="219">
        <v>1398</v>
      </c>
      <c r="H2" s="219">
        <v>1399</v>
      </c>
      <c r="I2" s="219">
        <v>1400</v>
      </c>
      <c r="J2" s="219">
        <v>1401</v>
      </c>
      <c r="K2" s="420"/>
    </row>
    <row r="3" spans="1:11" ht="33" customHeight="1">
      <c r="A3" s="419"/>
      <c r="B3" s="425" t="s">
        <v>629</v>
      </c>
      <c r="C3" s="424" t="s">
        <v>637</v>
      </c>
      <c r="D3" s="240" t="s">
        <v>635</v>
      </c>
      <c r="E3" s="221"/>
      <c r="F3" s="221"/>
      <c r="G3" s="221"/>
      <c r="H3" s="221"/>
      <c r="I3" s="221"/>
      <c r="J3" s="221"/>
      <c r="K3" s="420"/>
    </row>
    <row r="4" spans="1:11" ht="33" customHeight="1">
      <c r="A4" s="419"/>
      <c r="B4" s="425"/>
      <c r="C4" s="424"/>
      <c r="D4" s="240" t="s">
        <v>636</v>
      </c>
      <c r="E4" s="221"/>
      <c r="F4" s="221"/>
      <c r="G4" s="221"/>
      <c r="H4" s="221"/>
      <c r="I4" s="221"/>
      <c r="J4" s="221"/>
      <c r="K4" s="420"/>
    </row>
    <row r="5" spans="1:11" ht="33" customHeight="1">
      <c r="A5" s="419"/>
      <c r="B5" s="425" t="s">
        <v>630</v>
      </c>
      <c r="C5" s="424" t="s">
        <v>638</v>
      </c>
      <c r="D5" s="240" t="s">
        <v>635</v>
      </c>
      <c r="E5" s="221"/>
      <c r="F5" s="221"/>
      <c r="G5" s="221"/>
      <c r="H5" s="221"/>
      <c r="I5" s="221"/>
      <c r="J5" s="221"/>
      <c r="K5" s="420"/>
    </row>
    <row r="6" spans="1:11" ht="33" customHeight="1">
      <c r="A6" s="419"/>
      <c r="B6" s="425"/>
      <c r="C6" s="424"/>
      <c r="D6" s="240" t="s">
        <v>636</v>
      </c>
      <c r="E6" s="221"/>
      <c r="F6" s="221"/>
      <c r="G6" s="221"/>
      <c r="H6" s="221"/>
      <c r="I6" s="221"/>
      <c r="J6" s="221"/>
      <c r="K6" s="420"/>
    </row>
    <row r="7" spans="1:11" ht="33" customHeight="1">
      <c r="A7" s="419"/>
      <c r="B7" s="425" t="s">
        <v>631</v>
      </c>
      <c r="C7" s="424" t="s">
        <v>639</v>
      </c>
      <c r="D7" s="240" t="s">
        <v>635</v>
      </c>
      <c r="E7" s="221"/>
      <c r="F7" s="221"/>
      <c r="G7" s="221"/>
      <c r="H7" s="221"/>
      <c r="I7" s="221"/>
      <c r="J7" s="221"/>
      <c r="K7" s="420"/>
    </row>
    <row r="8" spans="1:11" ht="33" customHeight="1">
      <c r="A8" s="419"/>
      <c r="B8" s="425"/>
      <c r="C8" s="424"/>
      <c r="D8" s="240" t="s">
        <v>636</v>
      </c>
      <c r="E8" s="221"/>
      <c r="F8" s="221"/>
      <c r="G8" s="221"/>
      <c r="H8" s="221"/>
      <c r="I8" s="221"/>
      <c r="J8" s="221"/>
      <c r="K8" s="420"/>
    </row>
    <row r="9" spans="1:11" ht="33" customHeight="1">
      <c r="A9" s="419"/>
      <c r="B9" s="425" t="s">
        <v>642</v>
      </c>
      <c r="C9" s="424" t="s">
        <v>640</v>
      </c>
      <c r="D9" s="240" t="s">
        <v>635</v>
      </c>
      <c r="E9" s="221"/>
      <c r="F9" s="221"/>
      <c r="G9" s="221"/>
      <c r="H9" s="221"/>
      <c r="I9" s="221"/>
      <c r="J9" s="221"/>
      <c r="K9" s="420"/>
    </row>
    <row r="10" spans="1:11" ht="33" customHeight="1">
      <c r="A10" s="419"/>
      <c r="B10" s="425"/>
      <c r="C10" s="424"/>
      <c r="D10" s="240" t="s">
        <v>636</v>
      </c>
      <c r="E10" s="221"/>
      <c r="F10" s="221"/>
      <c r="G10" s="221"/>
      <c r="H10" s="221"/>
      <c r="I10" s="221"/>
      <c r="J10" s="221"/>
      <c r="K10" s="420"/>
    </row>
    <row r="11" spans="1:11" ht="33" customHeight="1">
      <c r="A11" s="419"/>
      <c r="B11" s="425" t="s">
        <v>643</v>
      </c>
      <c r="C11" s="424" t="s">
        <v>641</v>
      </c>
      <c r="D11" s="240" t="s">
        <v>635</v>
      </c>
      <c r="E11" s="221"/>
      <c r="F11" s="221"/>
      <c r="G11" s="221"/>
      <c r="H11" s="221"/>
      <c r="I11" s="221"/>
      <c r="J11" s="221"/>
      <c r="K11" s="420"/>
    </row>
    <row r="12" spans="1:11" ht="33" customHeight="1">
      <c r="A12" s="419"/>
      <c r="B12" s="425"/>
      <c r="C12" s="424"/>
      <c r="D12" s="240" t="s">
        <v>636</v>
      </c>
      <c r="E12" s="221"/>
      <c r="F12" s="221"/>
      <c r="G12" s="221"/>
      <c r="H12" s="221"/>
      <c r="I12" s="221"/>
      <c r="J12" s="221"/>
      <c r="K12" s="420"/>
    </row>
    <row r="13" spans="1:11" ht="66" customHeight="1" thickBot="1">
      <c r="A13" s="421"/>
      <c r="B13" s="422"/>
      <c r="C13" s="422"/>
      <c r="D13" s="422"/>
      <c r="E13" s="422"/>
      <c r="F13" s="422"/>
      <c r="G13" s="422"/>
      <c r="H13" s="422"/>
      <c r="I13" s="422"/>
      <c r="J13" s="422"/>
      <c r="K13" s="423"/>
    </row>
    <row r="14" spans="1:11" ht="45" customHeight="1"/>
    <row r="15" spans="1:11" ht="45" customHeight="1"/>
    <row r="16" spans="1:11"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row r="28" ht="45" customHeight="1"/>
    <row r="29" ht="45" customHeight="1"/>
    <row r="30" ht="45" customHeight="1"/>
    <row r="31" ht="45" customHeight="1"/>
    <row r="32" ht="45" customHeight="1"/>
  </sheetData>
  <mergeCells count="14">
    <mergeCell ref="A1:K1"/>
    <mergeCell ref="A2:A12"/>
    <mergeCell ref="K2:K12"/>
    <mergeCell ref="A13:K13"/>
    <mergeCell ref="C3:C4"/>
    <mergeCell ref="B3:B4"/>
    <mergeCell ref="C5:C6"/>
    <mergeCell ref="B5:B6"/>
    <mergeCell ref="C7:C8"/>
    <mergeCell ref="B7:B8"/>
    <mergeCell ref="B11:B12"/>
    <mergeCell ref="C11:C12"/>
    <mergeCell ref="C9:C10"/>
    <mergeCell ref="B9:B10"/>
  </mergeCells>
  <pageMargins left="0.7" right="0.7" top="0.75" bottom="0.75" header="0.3" footer="0.3"/>
  <pageSetup paperSize="9" orientation="portrait" r:id="rId1"/>
  <ignoredErrors>
    <ignoredError sqref="B3 B5:B12" numberStoredAsText="1"/>
  </ignoredErrors>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rightToLeft="1" workbookViewId="0">
      <pane xSplit="7" topLeftCell="H1" activePane="topRight" state="frozen"/>
      <selection pane="topRight" sqref="A1:G1"/>
    </sheetView>
  </sheetViews>
  <sheetFormatPr defaultColWidth="25" defaultRowHeight="54.95" customHeight="1"/>
  <cols>
    <col min="1" max="1" width="12.5" style="147" customWidth="1"/>
    <col min="2" max="2" width="10.1640625" style="147" customWidth="1"/>
    <col min="3" max="3" width="56.33203125" style="147" customWidth="1"/>
    <col min="4" max="6" width="24.1640625" style="147" customWidth="1"/>
    <col min="7" max="7" width="12.1640625" style="147" customWidth="1"/>
    <col min="8" max="8" width="8.1640625" style="153" customWidth="1"/>
    <col min="9" max="16384" width="25" style="147"/>
  </cols>
  <sheetData>
    <row r="1" spans="1:7" ht="24.95" customHeight="1">
      <c r="A1" s="405" t="s">
        <v>734</v>
      </c>
      <c r="B1" s="405"/>
      <c r="C1" s="405"/>
      <c r="D1" s="405"/>
      <c r="E1" s="405"/>
      <c r="F1" s="405"/>
      <c r="G1" s="405"/>
    </row>
    <row r="2" spans="1:7" ht="24.95" customHeight="1">
      <c r="A2" s="405" t="s">
        <v>118</v>
      </c>
      <c r="B2" s="405"/>
      <c r="C2" s="405"/>
      <c r="D2" s="405"/>
      <c r="E2" s="405"/>
      <c r="F2" s="405"/>
      <c r="G2" s="405"/>
    </row>
    <row r="3" spans="1:7" ht="51.75" customHeight="1">
      <c r="A3" s="405" t="s">
        <v>770</v>
      </c>
      <c r="B3" s="405"/>
      <c r="C3" s="405"/>
      <c r="D3" s="405"/>
      <c r="E3" s="405"/>
      <c r="F3" s="405"/>
      <c r="G3" s="405"/>
    </row>
    <row r="4" spans="1:7" ht="24.95" customHeight="1">
      <c r="A4" s="405" t="s">
        <v>737</v>
      </c>
      <c r="B4" s="405"/>
      <c r="C4" s="405"/>
      <c r="D4" s="405"/>
      <c r="E4" s="405"/>
      <c r="F4" s="405"/>
      <c r="G4" s="405"/>
    </row>
    <row r="5" spans="1:7" ht="33" customHeight="1">
      <c r="A5" s="404" t="s">
        <v>771</v>
      </c>
      <c r="B5" s="404"/>
      <c r="C5" s="404"/>
      <c r="D5" s="404"/>
      <c r="E5" s="404"/>
      <c r="F5" s="404"/>
      <c r="G5" s="404"/>
    </row>
    <row r="6" spans="1:7" ht="33" customHeight="1">
      <c r="A6" s="404" t="s">
        <v>772</v>
      </c>
      <c r="B6" s="404"/>
      <c r="C6" s="404"/>
      <c r="D6" s="404"/>
      <c r="E6" s="404"/>
      <c r="F6" s="404"/>
      <c r="G6" s="404"/>
    </row>
    <row r="7" spans="1:7" ht="33" customHeight="1">
      <c r="A7" s="404" t="s">
        <v>773</v>
      </c>
      <c r="B7" s="404"/>
      <c r="C7" s="404"/>
      <c r="D7" s="404"/>
      <c r="E7" s="404"/>
      <c r="F7" s="404"/>
      <c r="G7" s="404"/>
    </row>
    <row r="8" spans="1:7" ht="33" customHeight="1">
      <c r="A8" s="404" t="s">
        <v>774</v>
      </c>
      <c r="B8" s="404"/>
      <c r="C8" s="404"/>
      <c r="D8" s="404"/>
      <c r="E8" s="404"/>
      <c r="F8" s="404"/>
      <c r="G8" s="404"/>
    </row>
    <row r="9" spans="1:7" ht="33" customHeight="1">
      <c r="A9" s="404" t="s">
        <v>775</v>
      </c>
      <c r="B9" s="404"/>
      <c r="C9" s="404"/>
      <c r="D9" s="404"/>
      <c r="E9" s="404"/>
      <c r="F9" s="404"/>
      <c r="G9" s="404"/>
    </row>
    <row r="10" spans="1:7" ht="33" customHeight="1">
      <c r="A10" s="404" t="s">
        <v>776</v>
      </c>
      <c r="B10" s="404"/>
      <c r="C10" s="404"/>
      <c r="D10" s="404"/>
      <c r="E10" s="404"/>
      <c r="F10" s="404"/>
      <c r="G10" s="404"/>
    </row>
    <row r="11" spans="1:7" ht="33" customHeight="1">
      <c r="A11" s="404" t="s">
        <v>777</v>
      </c>
      <c r="B11" s="404"/>
      <c r="C11" s="404"/>
      <c r="D11" s="404"/>
      <c r="E11" s="404"/>
      <c r="F11" s="404"/>
      <c r="G11" s="404"/>
    </row>
    <row r="12" spans="1:7" ht="33" customHeight="1">
      <c r="A12" s="404" t="s">
        <v>778</v>
      </c>
      <c r="B12" s="404"/>
      <c r="C12" s="404"/>
      <c r="D12" s="404"/>
      <c r="E12" s="404"/>
      <c r="F12" s="404"/>
      <c r="G12" s="404"/>
    </row>
    <row r="13" spans="1:7" ht="33" customHeight="1">
      <c r="A13" s="404" t="s">
        <v>779</v>
      </c>
      <c r="B13" s="404"/>
      <c r="C13" s="404"/>
      <c r="D13" s="404"/>
      <c r="E13" s="404"/>
      <c r="F13" s="404"/>
      <c r="G13" s="404"/>
    </row>
    <row r="14" spans="1:7" ht="33" customHeight="1">
      <c r="A14" s="404" t="s">
        <v>780</v>
      </c>
      <c r="B14" s="404"/>
      <c r="C14" s="404"/>
      <c r="D14" s="404"/>
      <c r="E14" s="404"/>
      <c r="F14" s="404"/>
      <c r="G14" s="404"/>
    </row>
    <row r="15" spans="1:7" ht="33" customHeight="1">
      <c r="A15" s="404" t="s">
        <v>781</v>
      </c>
      <c r="B15" s="404"/>
      <c r="C15" s="404"/>
      <c r="D15" s="404"/>
      <c r="E15" s="404"/>
      <c r="F15" s="404"/>
      <c r="G15" s="404"/>
    </row>
    <row r="16" spans="1:7" ht="33" customHeight="1">
      <c r="A16" s="404" t="s">
        <v>782</v>
      </c>
      <c r="B16" s="404"/>
      <c r="C16" s="404"/>
      <c r="D16" s="404"/>
      <c r="E16" s="404"/>
      <c r="F16" s="404"/>
      <c r="G16" s="404"/>
    </row>
    <row r="17" spans="1:8" ht="33" customHeight="1">
      <c r="A17" s="404" t="s">
        <v>783</v>
      </c>
      <c r="B17" s="404"/>
      <c r="C17" s="404"/>
      <c r="D17" s="404"/>
      <c r="E17" s="404"/>
      <c r="F17" s="404"/>
      <c r="G17" s="404"/>
    </row>
    <row r="18" spans="1:8" ht="33" customHeight="1">
      <c r="A18" s="404" t="s">
        <v>784</v>
      </c>
      <c r="B18" s="404"/>
      <c r="C18" s="404"/>
      <c r="D18" s="404"/>
      <c r="E18" s="404"/>
      <c r="F18" s="404"/>
      <c r="G18" s="404"/>
    </row>
    <row r="19" spans="1:8" ht="33" customHeight="1">
      <c r="A19" s="404" t="s">
        <v>785</v>
      </c>
      <c r="B19" s="404"/>
      <c r="C19" s="404"/>
      <c r="D19" s="404"/>
      <c r="E19" s="404"/>
      <c r="F19" s="404"/>
      <c r="G19" s="404"/>
    </row>
    <row r="20" spans="1:8" ht="33" customHeight="1">
      <c r="A20" s="404" t="s">
        <v>786</v>
      </c>
      <c r="B20" s="404"/>
      <c r="C20" s="404"/>
      <c r="D20" s="404"/>
      <c r="E20" s="404"/>
      <c r="F20" s="404"/>
      <c r="G20" s="404"/>
    </row>
    <row r="21" spans="1:8" ht="33" customHeight="1">
      <c r="A21" s="404" t="s">
        <v>787</v>
      </c>
      <c r="B21" s="404"/>
      <c r="C21" s="404"/>
      <c r="D21" s="404"/>
      <c r="E21" s="404"/>
      <c r="F21" s="404"/>
      <c r="G21" s="404"/>
    </row>
    <row r="22" spans="1:8" s="146" customFormat="1" ht="45" customHeight="1">
      <c r="A22" s="408"/>
      <c r="B22" s="222" t="s">
        <v>0</v>
      </c>
      <c r="C22" s="222" t="s">
        <v>626</v>
      </c>
      <c r="D22" s="224" t="s">
        <v>788</v>
      </c>
      <c r="E22" s="224" t="s">
        <v>789</v>
      </c>
      <c r="F22" s="224" t="s">
        <v>790</v>
      </c>
      <c r="G22" s="409"/>
      <c r="H22" s="154"/>
    </row>
    <row r="23" spans="1:8" s="146" customFormat="1" ht="20.100000000000001" customHeight="1">
      <c r="A23" s="408"/>
      <c r="B23" s="426" t="s">
        <v>791</v>
      </c>
      <c r="C23" s="427" t="s">
        <v>637</v>
      </c>
      <c r="D23" s="241" t="s">
        <v>635</v>
      </c>
      <c r="E23" s="242">
        <v>0.435</v>
      </c>
      <c r="F23" s="242">
        <v>0.35</v>
      </c>
      <c r="G23" s="409"/>
      <c r="H23" s="155">
        <f>E23-(E23*30%)</f>
        <v>0.30449999999999999</v>
      </c>
    </row>
    <row r="24" spans="1:8" s="146" customFormat="1" ht="20.100000000000001" customHeight="1">
      <c r="A24" s="408"/>
      <c r="B24" s="426"/>
      <c r="C24" s="427"/>
      <c r="D24" s="241" t="s">
        <v>636</v>
      </c>
      <c r="E24" s="243">
        <v>981</v>
      </c>
      <c r="F24" s="243">
        <v>442</v>
      </c>
      <c r="G24" s="409"/>
      <c r="H24" s="155">
        <f>E24-(E24*55%)</f>
        <v>441.44999999999993</v>
      </c>
    </row>
    <row r="25" spans="1:8" s="146" customFormat="1" ht="20.100000000000001" customHeight="1">
      <c r="A25" s="408"/>
      <c r="B25" s="426" t="s">
        <v>792</v>
      </c>
      <c r="C25" s="427" t="s">
        <v>638</v>
      </c>
      <c r="D25" s="241" t="s">
        <v>635</v>
      </c>
      <c r="E25" s="242">
        <v>0.61</v>
      </c>
      <c r="F25" s="242">
        <v>0.45600000000000002</v>
      </c>
      <c r="G25" s="409"/>
      <c r="H25" s="155">
        <f>E25-(E25*30%)</f>
        <v>0.42699999999999999</v>
      </c>
    </row>
    <row r="26" spans="1:8" s="146" customFormat="1" ht="20.100000000000001" customHeight="1">
      <c r="A26" s="408"/>
      <c r="B26" s="426"/>
      <c r="C26" s="427"/>
      <c r="D26" s="241" t="s">
        <v>636</v>
      </c>
      <c r="E26" s="243">
        <v>1256</v>
      </c>
      <c r="F26" s="243">
        <v>540</v>
      </c>
      <c r="G26" s="409"/>
      <c r="H26" s="155">
        <f>E26-(E26*57%)</f>
        <v>540.08000000000004</v>
      </c>
    </row>
    <row r="27" spans="1:8" s="146" customFormat="1" ht="20.100000000000001" customHeight="1">
      <c r="A27" s="408"/>
      <c r="B27" s="426" t="s">
        <v>793</v>
      </c>
      <c r="C27" s="427" t="s">
        <v>639</v>
      </c>
      <c r="D27" s="241" t="s">
        <v>635</v>
      </c>
      <c r="E27" s="242">
        <v>1.4</v>
      </c>
      <c r="F27" s="242">
        <v>0.98</v>
      </c>
      <c r="G27" s="409"/>
      <c r="H27" s="155">
        <f>E27-(E27*30%)</f>
        <v>0.98</v>
      </c>
    </row>
    <row r="28" spans="1:8" s="146" customFormat="1" ht="20.100000000000001" customHeight="1">
      <c r="A28" s="408"/>
      <c r="B28" s="426"/>
      <c r="C28" s="427"/>
      <c r="D28" s="241" t="s">
        <v>636</v>
      </c>
      <c r="E28" s="243">
        <v>3850</v>
      </c>
      <c r="F28" s="243">
        <v>1848</v>
      </c>
      <c r="G28" s="409"/>
      <c r="H28" s="155">
        <f>E28-(E28*57%)</f>
        <v>1655.5</v>
      </c>
    </row>
    <row r="29" spans="1:8" s="146" customFormat="1" ht="20.100000000000001" customHeight="1">
      <c r="A29" s="408"/>
      <c r="B29" s="426" t="s">
        <v>794</v>
      </c>
      <c r="C29" s="427" t="s">
        <v>640</v>
      </c>
      <c r="D29" s="241" t="s">
        <v>635</v>
      </c>
      <c r="E29" s="242">
        <v>4.3999999999999997E-2</v>
      </c>
      <c r="F29" s="242">
        <v>3.1E-2</v>
      </c>
      <c r="G29" s="409"/>
      <c r="H29" s="156">
        <f>E29-(E29*30%)</f>
        <v>3.0800000000000001E-2</v>
      </c>
    </row>
    <row r="30" spans="1:8" s="146" customFormat="1" ht="20.100000000000001" customHeight="1">
      <c r="A30" s="408"/>
      <c r="B30" s="426"/>
      <c r="C30" s="427"/>
      <c r="D30" s="241" t="s">
        <v>636</v>
      </c>
      <c r="E30" s="243">
        <v>154</v>
      </c>
      <c r="F30" s="243">
        <v>74</v>
      </c>
      <c r="G30" s="409"/>
      <c r="H30" s="155">
        <f>E30-(E30*57%)</f>
        <v>66.220000000000013</v>
      </c>
    </row>
    <row r="31" spans="1:8" s="146" customFormat="1" ht="20.100000000000001" customHeight="1">
      <c r="A31" s="408"/>
      <c r="B31" s="426" t="s">
        <v>795</v>
      </c>
      <c r="C31" s="427" t="s">
        <v>641</v>
      </c>
      <c r="D31" s="241" t="s">
        <v>635</v>
      </c>
      <c r="E31" s="242">
        <v>1</v>
      </c>
      <c r="F31" s="242">
        <v>0.74099999999999999</v>
      </c>
      <c r="G31" s="409"/>
      <c r="H31" s="155">
        <f>E31-(E31*30%)</f>
        <v>0.7</v>
      </c>
    </row>
    <row r="32" spans="1:8" s="146" customFormat="1" ht="20.100000000000001" customHeight="1">
      <c r="A32" s="408"/>
      <c r="B32" s="426"/>
      <c r="C32" s="427"/>
      <c r="D32" s="241" t="s">
        <v>636</v>
      </c>
      <c r="E32" s="243">
        <v>6</v>
      </c>
      <c r="F32" s="243" t="s">
        <v>631</v>
      </c>
      <c r="G32" s="409"/>
      <c r="H32" s="155">
        <f>E32-(E32*57%)</f>
        <v>2.58</v>
      </c>
    </row>
    <row r="33" spans="1:8" s="146" customFormat="1" ht="20.100000000000001" customHeight="1">
      <c r="A33" s="408"/>
      <c r="B33" s="426" t="s">
        <v>796</v>
      </c>
      <c r="C33" s="427" t="s">
        <v>797</v>
      </c>
      <c r="D33" s="428" t="s">
        <v>798</v>
      </c>
      <c r="E33" s="242" t="s">
        <v>47</v>
      </c>
      <c r="F33" s="242" t="s">
        <v>47</v>
      </c>
      <c r="G33" s="409"/>
      <c r="H33" s="157">
        <f>F23+F25+F27+F29+F31</f>
        <v>2.5579999999999998</v>
      </c>
    </row>
    <row r="34" spans="1:8" s="146" customFormat="1" ht="20.100000000000001" customHeight="1">
      <c r="A34" s="408"/>
      <c r="B34" s="426"/>
      <c r="C34" s="427"/>
      <c r="D34" s="428"/>
      <c r="E34" s="242" t="s">
        <v>47</v>
      </c>
      <c r="F34" s="242" t="s">
        <v>47</v>
      </c>
      <c r="G34" s="409"/>
      <c r="H34" s="157">
        <f>E23+E25+E27+E29+E31</f>
        <v>3.4889999999999999</v>
      </c>
    </row>
    <row r="35" spans="1:8" ht="65.099999999999994" customHeight="1">
      <c r="A35" s="406"/>
      <c r="B35" s="406"/>
      <c r="C35" s="406"/>
      <c r="D35" s="406"/>
      <c r="E35" s="406"/>
      <c r="F35" s="406"/>
      <c r="G35" s="407"/>
    </row>
    <row r="38" spans="1:8" ht="54.95" customHeight="1">
      <c r="E38" s="158"/>
    </row>
  </sheetData>
  <mergeCells count="37">
    <mergeCell ref="A35:G35"/>
    <mergeCell ref="D33:D34"/>
    <mergeCell ref="C27:C28"/>
    <mergeCell ref="B29:B30"/>
    <mergeCell ref="C29:C30"/>
    <mergeCell ref="B31:B32"/>
    <mergeCell ref="C31:C32"/>
    <mergeCell ref="B33:B34"/>
    <mergeCell ref="C33:C34"/>
    <mergeCell ref="A19:G19"/>
    <mergeCell ref="A20:G20"/>
    <mergeCell ref="A21:G21"/>
    <mergeCell ref="A22:A34"/>
    <mergeCell ref="G22:G34"/>
    <mergeCell ref="B23:B24"/>
    <mergeCell ref="C23:C24"/>
    <mergeCell ref="B25:B26"/>
    <mergeCell ref="C25:C26"/>
    <mergeCell ref="B27:B28"/>
    <mergeCell ref="A18:G18"/>
    <mergeCell ref="A7:G7"/>
    <mergeCell ref="A8:G8"/>
    <mergeCell ref="A9:G9"/>
    <mergeCell ref="A10:G10"/>
    <mergeCell ref="A11:G11"/>
    <mergeCell ref="A12:G12"/>
    <mergeCell ref="A13:G13"/>
    <mergeCell ref="A14:G14"/>
    <mergeCell ref="A15:G15"/>
    <mergeCell ref="A16:G16"/>
    <mergeCell ref="A17:G17"/>
    <mergeCell ref="A6:G6"/>
    <mergeCell ref="A1:G1"/>
    <mergeCell ref="A2:G2"/>
    <mergeCell ref="A3:G3"/>
    <mergeCell ref="A4:G4"/>
    <mergeCell ref="A5:G5"/>
  </mergeCells>
  <printOptions headings="1"/>
  <pageMargins left="0.7" right="0.7" top="0.75" bottom="0.75" header="0.3" footer="0.3"/>
  <pageSetup paperSize="9" scale="94"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1"/>
  <sheetViews>
    <sheetView showGridLines="0" rightToLeft="1" workbookViewId="0">
      <pane xSplit="14" topLeftCell="O1" activePane="topRight" state="frozen"/>
      <selection activeCell="F12" sqref="F12"/>
      <selection pane="topRight" activeCell="Q9" sqref="Q9"/>
    </sheetView>
  </sheetViews>
  <sheetFormatPr defaultColWidth="10.6640625" defaultRowHeight="35.1" customHeight="1"/>
  <cols>
    <col min="1" max="1" width="7.6640625" style="35" customWidth="1"/>
    <col min="2" max="2" width="27.5" style="35" customWidth="1"/>
    <col min="3" max="3" width="13.1640625" style="35" customWidth="1"/>
    <col min="4" max="4" width="13.1640625" style="52" customWidth="1"/>
    <col min="5" max="13" width="10.1640625" style="52" customWidth="1"/>
    <col min="14" max="14" width="10.6640625" style="53" customWidth="1"/>
    <col min="15" max="18" width="8.6640625" style="32" customWidth="1"/>
    <col min="19" max="19" width="8.6640625" style="33" customWidth="1"/>
    <col min="20" max="20" width="13.33203125" style="34" customWidth="1"/>
    <col min="21" max="21" width="10.6640625" style="33"/>
    <col min="22" max="16384" width="10.6640625" style="35"/>
  </cols>
  <sheetData>
    <row r="1" spans="1:21" ht="42" customHeight="1">
      <c r="A1" s="429" t="s">
        <v>109</v>
      </c>
      <c r="B1" s="429"/>
      <c r="C1" s="429"/>
      <c r="D1" s="429"/>
      <c r="E1" s="429"/>
      <c r="F1" s="429"/>
      <c r="G1" s="429"/>
      <c r="H1" s="429"/>
      <c r="I1" s="429"/>
      <c r="J1" s="429"/>
      <c r="K1" s="429"/>
      <c r="L1" s="429"/>
      <c r="M1" s="429"/>
      <c r="N1" s="429"/>
    </row>
    <row r="2" spans="1:21" s="38" customFormat="1" ht="25.5" customHeight="1">
      <c r="A2" s="374" t="s">
        <v>0</v>
      </c>
      <c r="B2" s="374" t="s">
        <v>11</v>
      </c>
      <c r="C2" s="374" t="s">
        <v>102</v>
      </c>
      <c r="D2" s="375" t="s">
        <v>103</v>
      </c>
      <c r="E2" s="375" t="s">
        <v>104</v>
      </c>
      <c r="F2" s="375"/>
      <c r="G2" s="375"/>
      <c r="H2" s="375"/>
      <c r="I2" s="375"/>
      <c r="J2" s="375" t="s">
        <v>105</v>
      </c>
      <c r="K2" s="375"/>
      <c r="L2" s="375"/>
      <c r="M2" s="375"/>
      <c r="N2" s="375"/>
      <c r="O2" s="32"/>
      <c r="P2" s="32"/>
      <c r="Q2" s="32"/>
      <c r="R2" s="32"/>
      <c r="S2" s="36"/>
      <c r="T2" s="37"/>
      <c r="U2" s="36"/>
    </row>
    <row r="3" spans="1:21" s="38" customFormat="1" ht="20.100000000000001" customHeight="1">
      <c r="A3" s="374"/>
      <c r="B3" s="374"/>
      <c r="C3" s="374"/>
      <c r="D3" s="375"/>
      <c r="E3" s="375" t="s">
        <v>106</v>
      </c>
      <c r="F3" s="375"/>
      <c r="G3" s="410">
        <v>1397</v>
      </c>
      <c r="H3" s="410">
        <v>1398</v>
      </c>
      <c r="I3" s="410">
        <v>1399</v>
      </c>
      <c r="J3" s="410">
        <v>1400</v>
      </c>
      <c r="K3" s="410">
        <v>1401</v>
      </c>
      <c r="L3" s="410">
        <v>1402</v>
      </c>
      <c r="M3" s="410">
        <v>1403</v>
      </c>
      <c r="N3" s="410">
        <v>1404</v>
      </c>
      <c r="O3" s="32"/>
      <c r="P3" s="32"/>
      <c r="Q3" s="32"/>
      <c r="R3" s="32"/>
      <c r="S3" s="36"/>
      <c r="T3" s="37"/>
      <c r="U3" s="36"/>
    </row>
    <row r="4" spans="1:21" s="76" customFormat="1" ht="23.25" customHeight="1">
      <c r="A4" s="374"/>
      <c r="B4" s="374"/>
      <c r="C4" s="374"/>
      <c r="D4" s="375"/>
      <c r="E4" s="233">
        <v>1395</v>
      </c>
      <c r="F4" s="233">
        <v>1396</v>
      </c>
      <c r="G4" s="410"/>
      <c r="H4" s="410"/>
      <c r="I4" s="410"/>
      <c r="J4" s="410"/>
      <c r="K4" s="410"/>
      <c r="L4" s="410"/>
      <c r="M4" s="410"/>
      <c r="N4" s="410"/>
      <c r="O4" s="72"/>
      <c r="P4" s="72"/>
      <c r="Q4" s="73"/>
      <c r="R4" s="72"/>
      <c r="S4" s="74"/>
      <c r="T4" s="75"/>
      <c r="U4" s="74"/>
    </row>
    <row r="5" spans="1:21" s="76" customFormat="1" ht="30" customHeight="1">
      <c r="A5" s="234">
        <v>1</v>
      </c>
      <c r="B5" s="205" t="s">
        <v>14</v>
      </c>
      <c r="C5" s="206">
        <f>($A$200+$B$200)*'[16]نرخ تسهیم'!U3</f>
        <v>1635.2690649307115</v>
      </c>
      <c r="D5" s="207">
        <f>C5*1.05</f>
        <v>1717.0325181772471</v>
      </c>
      <c r="E5" s="207">
        <f t="shared" ref="E5:N5" si="0">D5*1.05</f>
        <v>1802.8841440861095</v>
      </c>
      <c r="F5" s="207">
        <f t="shared" si="0"/>
        <v>1893.028351290415</v>
      </c>
      <c r="G5" s="207">
        <f t="shared" si="0"/>
        <v>1987.6797688549359</v>
      </c>
      <c r="H5" s="207">
        <f t="shared" si="0"/>
        <v>2087.063757297683</v>
      </c>
      <c r="I5" s="207">
        <f t="shared" si="0"/>
        <v>2191.4169451625671</v>
      </c>
      <c r="J5" s="207">
        <f t="shared" si="0"/>
        <v>2300.9877924206958</v>
      </c>
      <c r="K5" s="207">
        <f t="shared" si="0"/>
        <v>2416.0371820417308</v>
      </c>
      <c r="L5" s="207">
        <f t="shared" si="0"/>
        <v>2536.8390411438177</v>
      </c>
      <c r="M5" s="207">
        <f t="shared" si="0"/>
        <v>2663.6809932010087</v>
      </c>
      <c r="N5" s="207">
        <f t="shared" si="0"/>
        <v>2796.8650428610595</v>
      </c>
      <c r="O5" s="72"/>
      <c r="P5" s="72"/>
      <c r="Q5" s="73"/>
      <c r="R5" s="73"/>
      <c r="S5" s="73"/>
      <c r="T5" s="75"/>
      <c r="U5" s="74"/>
    </row>
    <row r="6" spans="1:21" s="76" customFormat="1" ht="30" customHeight="1">
      <c r="A6" s="234">
        <v>2</v>
      </c>
      <c r="B6" s="205" t="s">
        <v>15</v>
      </c>
      <c r="C6" s="206">
        <f>($A$200+$B$200)*'[16]نرخ تسهیم'!U4</f>
        <v>2584.9328900470305</v>
      </c>
      <c r="D6" s="207">
        <f t="shared" ref="D6:N21" si="1">C6*1.05</f>
        <v>2714.179534549382</v>
      </c>
      <c r="E6" s="207">
        <f t="shared" si="1"/>
        <v>2849.8885112768512</v>
      </c>
      <c r="F6" s="207">
        <f t="shared" si="1"/>
        <v>2992.3829368406937</v>
      </c>
      <c r="G6" s="207">
        <f t="shared" si="1"/>
        <v>3142.0020836827284</v>
      </c>
      <c r="H6" s="207">
        <f t="shared" si="1"/>
        <v>3299.1021878668648</v>
      </c>
      <c r="I6" s="207">
        <f t="shared" si="1"/>
        <v>3464.0572972602081</v>
      </c>
      <c r="J6" s="207">
        <f t="shared" si="1"/>
        <v>3637.2601621232188</v>
      </c>
      <c r="K6" s="207">
        <f t="shared" si="1"/>
        <v>3819.1231702293799</v>
      </c>
      <c r="L6" s="207">
        <f t="shared" si="1"/>
        <v>4010.0793287408492</v>
      </c>
      <c r="M6" s="207">
        <f t="shared" si="1"/>
        <v>4210.5832951778921</v>
      </c>
      <c r="N6" s="207">
        <f t="shared" si="1"/>
        <v>4421.1124599367868</v>
      </c>
      <c r="O6" s="72"/>
      <c r="P6" s="72"/>
      <c r="Q6" s="73"/>
      <c r="R6" s="73"/>
      <c r="S6" s="73"/>
      <c r="T6" s="75"/>
      <c r="U6" s="74"/>
    </row>
    <row r="7" spans="1:21" s="76" customFormat="1" ht="30" customHeight="1">
      <c r="A7" s="234">
        <v>3</v>
      </c>
      <c r="B7" s="205" t="s">
        <v>16</v>
      </c>
      <c r="C7" s="206">
        <f>($A$200+$B$200)*'[16]نرخ تسهیم'!U5</f>
        <v>2904.699060928097</v>
      </c>
      <c r="D7" s="207">
        <f t="shared" si="1"/>
        <v>3049.9340139745018</v>
      </c>
      <c r="E7" s="207">
        <f t="shared" si="1"/>
        <v>3202.4307146732272</v>
      </c>
      <c r="F7" s="207">
        <f t="shared" si="1"/>
        <v>3362.5522504068886</v>
      </c>
      <c r="G7" s="207">
        <f t="shared" si="1"/>
        <v>3530.679862927233</v>
      </c>
      <c r="H7" s="207">
        <f t="shared" si="1"/>
        <v>3707.2138560735948</v>
      </c>
      <c r="I7" s="207">
        <f t="shared" si="1"/>
        <v>3892.5745488772745</v>
      </c>
      <c r="J7" s="207">
        <f t="shared" si="1"/>
        <v>4087.2032763211382</v>
      </c>
      <c r="K7" s="207">
        <f t="shared" si="1"/>
        <v>4291.5634401371954</v>
      </c>
      <c r="L7" s="207">
        <f t="shared" si="1"/>
        <v>4506.1416121440552</v>
      </c>
      <c r="M7" s="207">
        <f t="shared" si="1"/>
        <v>4731.448692751258</v>
      </c>
      <c r="N7" s="207">
        <f t="shared" si="1"/>
        <v>4968.0211273888208</v>
      </c>
      <c r="O7" s="72"/>
      <c r="P7" s="72"/>
      <c r="Q7" s="73"/>
      <c r="R7" s="73"/>
      <c r="S7" s="73"/>
      <c r="T7" s="75"/>
      <c r="U7" s="74"/>
    </row>
    <row r="8" spans="1:21" s="76" customFormat="1" ht="30" customHeight="1">
      <c r="A8" s="234">
        <v>4</v>
      </c>
      <c r="B8" s="205" t="s">
        <v>17</v>
      </c>
      <c r="C8" s="206">
        <f>($A$200+$B$200)*'[16]نرخ تسهیم'!U6</f>
        <v>1729.4781450311305</v>
      </c>
      <c r="D8" s="207">
        <f t="shared" si="1"/>
        <v>1815.952052282687</v>
      </c>
      <c r="E8" s="207">
        <f t="shared" si="1"/>
        <v>1906.7496548968213</v>
      </c>
      <c r="F8" s="207">
        <f t="shared" si="1"/>
        <v>2002.0871376416624</v>
      </c>
      <c r="G8" s="207">
        <f t="shared" si="1"/>
        <v>2102.1914945237454</v>
      </c>
      <c r="H8" s="207">
        <f t="shared" si="1"/>
        <v>2207.3010692499329</v>
      </c>
      <c r="I8" s="207">
        <f t="shared" si="1"/>
        <v>2317.6661227124296</v>
      </c>
      <c r="J8" s="207">
        <f t="shared" si="1"/>
        <v>2433.5494288480513</v>
      </c>
      <c r="K8" s="207">
        <f t="shared" si="1"/>
        <v>2555.2269002904541</v>
      </c>
      <c r="L8" s="207">
        <f t="shared" si="1"/>
        <v>2682.9882453049768</v>
      </c>
      <c r="M8" s="207">
        <f t="shared" si="1"/>
        <v>2817.1376575702257</v>
      </c>
      <c r="N8" s="207">
        <f t="shared" si="1"/>
        <v>2957.9945404487371</v>
      </c>
      <c r="O8" s="72"/>
      <c r="P8" s="72"/>
      <c r="Q8" s="73"/>
      <c r="R8" s="73"/>
      <c r="S8" s="73"/>
      <c r="T8" s="75"/>
      <c r="U8" s="74"/>
    </row>
    <row r="9" spans="1:21" s="76" customFormat="1" ht="30" customHeight="1">
      <c r="A9" s="234">
        <v>5</v>
      </c>
      <c r="B9" s="205" t="s">
        <v>18</v>
      </c>
      <c r="C9" s="206">
        <f>($A$200+$B$200)*'[16]نرخ تسهیم'!U7</f>
        <v>617.94525557582051</v>
      </c>
      <c r="D9" s="207">
        <f t="shared" si="1"/>
        <v>648.84251835461157</v>
      </c>
      <c r="E9" s="207">
        <f t="shared" si="1"/>
        <v>681.28464427234223</v>
      </c>
      <c r="F9" s="207">
        <f t="shared" si="1"/>
        <v>715.34887648595941</v>
      </c>
      <c r="G9" s="207">
        <f t="shared" si="1"/>
        <v>751.11632031025738</v>
      </c>
      <c r="H9" s="207">
        <f t="shared" si="1"/>
        <v>788.67213632577023</v>
      </c>
      <c r="I9" s="207">
        <f t="shared" si="1"/>
        <v>828.10574314205883</v>
      </c>
      <c r="J9" s="207">
        <f t="shared" si="1"/>
        <v>869.5110302991618</v>
      </c>
      <c r="K9" s="207">
        <f t="shared" si="1"/>
        <v>912.98658181411997</v>
      </c>
      <c r="L9" s="207">
        <f t="shared" si="1"/>
        <v>958.63591090482601</v>
      </c>
      <c r="M9" s="207">
        <f t="shared" si="1"/>
        <v>1006.5677064500674</v>
      </c>
      <c r="N9" s="207">
        <f t="shared" si="1"/>
        <v>1056.8960917725708</v>
      </c>
      <c r="O9" s="72"/>
      <c r="P9" s="72"/>
      <c r="Q9" s="73"/>
      <c r="R9" s="73"/>
      <c r="S9" s="73"/>
      <c r="T9" s="75"/>
      <c r="U9" s="74"/>
    </row>
    <row r="10" spans="1:21" s="76" customFormat="1" ht="30" customHeight="1">
      <c r="A10" s="234">
        <v>6</v>
      </c>
      <c r="B10" s="205" t="s">
        <v>19</v>
      </c>
      <c r="C10" s="206">
        <f>($A$200+$B$200)*'[16]نرخ تسهیم'!U8</f>
        <v>1319.4800625713108</v>
      </c>
      <c r="D10" s="207">
        <f t="shared" si="1"/>
        <v>1385.4540656998763</v>
      </c>
      <c r="E10" s="207">
        <f t="shared" si="1"/>
        <v>1454.7267689848702</v>
      </c>
      <c r="F10" s="207">
        <f t="shared" si="1"/>
        <v>1527.4631074341137</v>
      </c>
      <c r="G10" s="207">
        <f t="shared" si="1"/>
        <v>1603.8362628058194</v>
      </c>
      <c r="H10" s="207">
        <f t="shared" si="1"/>
        <v>1684.0280759461104</v>
      </c>
      <c r="I10" s="207">
        <f t="shared" si="1"/>
        <v>1768.2294797434161</v>
      </c>
      <c r="J10" s="207">
        <f t="shared" si="1"/>
        <v>1856.6409537305869</v>
      </c>
      <c r="K10" s="207">
        <f t="shared" si="1"/>
        <v>1949.4730014171164</v>
      </c>
      <c r="L10" s="207">
        <f t="shared" si="1"/>
        <v>2046.9466514879723</v>
      </c>
      <c r="M10" s="207">
        <f t="shared" si="1"/>
        <v>2149.2939840623712</v>
      </c>
      <c r="N10" s="207">
        <f t="shared" si="1"/>
        <v>2256.7586832654897</v>
      </c>
      <c r="O10" s="72"/>
      <c r="P10" s="72"/>
      <c r="Q10" s="73"/>
      <c r="R10" s="73"/>
      <c r="S10" s="73"/>
      <c r="T10" s="75"/>
      <c r="U10" s="74"/>
    </row>
    <row r="11" spans="1:21" s="76" customFormat="1" ht="30" customHeight="1">
      <c r="A11" s="234">
        <v>7</v>
      </c>
      <c r="B11" s="205" t="s">
        <v>20</v>
      </c>
      <c r="C11" s="206">
        <f>($A$200+$B$200)*'[16]نرخ تسهیم'!U9</f>
        <v>7845.9977395859014</v>
      </c>
      <c r="D11" s="207">
        <f t="shared" si="1"/>
        <v>8238.297626565196</v>
      </c>
      <c r="E11" s="207">
        <f t="shared" si="1"/>
        <v>8650.2125078934569</v>
      </c>
      <c r="F11" s="207">
        <f t="shared" si="1"/>
        <v>9082.7231332881292</v>
      </c>
      <c r="G11" s="207">
        <f t="shared" si="1"/>
        <v>9536.8592899525356</v>
      </c>
      <c r="H11" s="207">
        <f t="shared" si="1"/>
        <v>10013.702254450163</v>
      </c>
      <c r="I11" s="207">
        <f t="shared" si="1"/>
        <v>10514.387367172672</v>
      </c>
      <c r="J11" s="207">
        <f t="shared" si="1"/>
        <v>11040.106735531306</v>
      </c>
      <c r="K11" s="207">
        <f t="shared" si="1"/>
        <v>11592.112072307871</v>
      </c>
      <c r="L11" s="207">
        <f t="shared" si="1"/>
        <v>12171.717675923264</v>
      </c>
      <c r="M11" s="207">
        <f t="shared" si="1"/>
        <v>12780.303559719428</v>
      </c>
      <c r="N11" s="207">
        <f t="shared" si="1"/>
        <v>13419.3187377054</v>
      </c>
      <c r="O11" s="72"/>
      <c r="P11" s="72"/>
      <c r="Q11" s="73"/>
      <c r="R11" s="73"/>
      <c r="S11" s="73"/>
      <c r="T11" s="75"/>
      <c r="U11" s="74"/>
    </row>
    <row r="12" spans="1:21" s="76" customFormat="1" ht="30" customHeight="1">
      <c r="A12" s="234">
        <v>8</v>
      </c>
      <c r="B12" s="205" t="s">
        <v>21</v>
      </c>
      <c r="C12" s="206">
        <f>($A$200+$B$200)*'[16]نرخ تسهیم'!U10</f>
        <v>1419.0348285921953</v>
      </c>
      <c r="D12" s="207">
        <f t="shared" si="1"/>
        <v>1489.9865700218052</v>
      </c>
      <c r="E12" s="207">
        <f t="shared" si="1"/>
        <v>1564.4858985228955</v>
      </c>
      <c r="F12" s="207">
        <f t="shared" si="1"/>
        <v>1642.7101934490404</v>
      </c>
      <c r="G12" s="207">
        <f t="shared" si="1"/>
        <v>1724.8457031214925</v>
      </c>
      <c r="H12" s="207">
        <f t="shared" si="1"/>
        <v>1811.0879882775673</v>
      </c>
      <c r="I12" s="207">
        <f t="shared" si="1"/>
        <v>1901.6423876914457</v>
      </c>
      <c r="J12" s="207">
        <f t="shared" si="1"/>
        <v>1996.7245070760182</v>
      </c>
      <c r="K12" s="207">
        <f t="shared" si="1"/>
        <v>2096.5607324298194</v>
      </c>
      <c r="L12" s="207">
        <f t="shared" si="1"/>
        <v>2201.3887690513106</v>
      </c>
      <c r="M12" s="207">
        <f t="shared" si="1"/>
        <v>2311.4582075038761</v>
      </c>
      <c r="N12" s="207">
        <f t="shared" si="1"/>
        <v>2427.0311178790698</v>
      </c>
      <c r="O12" s="72"/>
      <c r="P12" s="72"/>
      <c r="Q12" s="73"/>
      <c r="R12" s="73"/>
      <c r="S12" s="73"/>
      <c r="T12" s="75"/>
      <c r="U12" s="74"/>
    </row>
    <row r="13" spans="1:21" s="76" customFormat="1" ht="30" customHeight="1">
      <c r="A13" s="234">
        <v>9</v>
      </c>
      <c r="B13" s="205" t="s">
        <v>22</v>
      </c>
      <c r="C13" s="206">
        <f>($A$200+$B$200)*'[16]نرخ تسهیم'!U11</f>
        <v>353.16482382725684</v>
      </c>
      <c r="D13" s="207">
        <f t="shared" si="1"/>
        <v>370.82306501861967</v>
      </c>
      <c r="E13" s="207">
        <f t="shared" si="1"/>
        <v>389.36421826955069</v>
      </c>
      <c r="F13" s="207">
        <f t="shared" si="1"/>
        <v>408.83242918302824</v>
      </c>
      <c r="G13" s="207">
        <f t="shared" si="1"/>
        <v>429.27405064217965</v>
      </c>
      <c r="H13" s="207">
        <f t="shared" si="1"/>
        <v>450.73775317428863</v>
      </c>
      <c r="I13" s="207">
        <f t="shared" si="1"/>
        <v>473.2746408330031</v>
      </c>
      <c r="J13" s="207">
        <f t="shared" si="1"/>
        <v>496.93837287465328</v>
      </c>
      <c r="K13" s="207">
        <f t="shared" si="1"/>
        <v>521.78529151838597</v>
      </c>
      <c r="L13" s="207">
        <f t="shared" si="1"/>
        <v>547.87455609430526</v>
      </c>
      <c r="M13" s="207">
        <f t="shared" si="1"/>
        <v>575.2682838990205</v>
      </c>
      <c r="N13" s="207">
        <f t="shared" si="1"/>
        <v>604.0316980939715</v>
      </c>
      <c r="O13" s="72"/>
      <c r="P13" s="72"/>
      <c r="Q13" s="73"/>
      <c r="R13" s="73"/>
      <c r="S13" s="73"/>
      <c r="T13" s="75"/>
      <c r="U13" s="74"/>
    </row>
    <row r="14" spans="1:21" s="76" customFormat="1" ht="30" customHeight="1">
      <c r="A14" s="234">
        <v>10</v>
      </c>
      <c r="B14" s="205" t="s">
        <v>23</v>
      </c>
      <c r="C14" s="206">
        <f>($A$200+$B$200)*'[16]نرخ تسهیم'!U12</f>
        <v>2815.2516678122497</v>
      </c>
      <c r="D14" s="207">
        <f t="shared" si="1"/>
        <v>2956.0142512028624</v>
      </c>
      <c r="E14" s="207">
        <f t="shared" si="1"/>
        <v>3103.8149637630058</v>
      </c>
      <c r="F14" s="207">
        <f t="shared" si="1"/>
        <v>3259.0057119511562</v>
      </c>
      <c r="G14" s="207">
        <f t="shared" si="1"/>
        <v>3421.9559975487141</v>
      </c>
      <c r="H14" s="207">
        <f t="shared" si="1"/>
        <v>3593.0537974261501</v>
      </c>
      <c r="I14" s="207">
        <f t="shared" si="1"/>
        <v>3772.7064872974579</v>
      </c>
      <c r="J14" s="207">
        <f t="shared" si="1"/>
        <v>3961.3418116623311</v>
      </c>
      <c r="K14" s="207">
        <f t="shared" si="1"/>
        <v>4159.4089022454482</v>
      </c>
      <c r="L14" s="207">
        <f t="shared" si="1"/>
        <v>4367.3793473577207</v>
      </c>
      <c r="M14" s="207">
        <f t="shared" si="1"/>
        <v>4585.7483147256071</v>
      </c>
      <c r="N14" s="207">
        <f t="shared" si="1"/>
        <v>4815.0357304618874</v>
      </c>
      <c r="O14" s="72"/>
      <c r="P14" s="72"/>
      <c r="Q14" s="73"/>
      <c r="R14" s="73"/>
      <c r="S14" s="73"/>
      <c r="T14" s="75"/>
      <c r="U14" s="74"/>
    </row>
    <row r="15" spans="1:21" s="76" customFormat="1" ht="30" customHeight="1">
      <c r="A15" s="234">
        <v>11</v>
      </c>
      <c r="B15" s="205" t="s">
        <v>24</v>
      </c>
      <c r="C15" s="206">
        <f>($A$200+$B$200)*'[16]نرخ تسهیم'!U13</f>
        <v>671.40292033678747</v>
      </c>
      <c r="D15" s="207">
        <f t="shared" si="1"/>
        <v>704.9730663536269</v>
      </c>
      <c r="E15" s="207">
        <f t="shared" si="1"/>
        <v>740.22171967130828</v>
      </c>
      <c r="F15" s="207">
        <f t="shared" si="1"/>
        <v>777.23280565487369</v>
      </c>
      <c r="G15" s="207">
        <f t="shared" si="1"/>
        <v>816.09444593761737</v>
      </c>
      <c r="H15" s="207">
        <f t="shared" si="1"/>
        <v>856.89916823449823</v>
      </c>
      <c r="I15" s="207">
        <f t="shared" si="1"/>
        <v>899.74412664622321</v>
      </c>
      <c r="J15" s="207">
        <f t="shared" si="1"/>
        <v>944.7313329785344</v>
      </c>
      <c r="K15" s="207">
        <f t="shared" si="1"/>
        <v>991.96789962746118</v>
      </c>
      <c r="L15" s="207">
        <f t="shared" si="1"/>
        <v>1041.5662946088344</v>
      </c>
      <c r="M15" s="207">
        <f t="shared" si="1"/>
        <v>1093.644609339276</v>
      </c>
      <c r="N15" s="207">
        <f t="shared" si="1"/>
        <v>1148.3268398062398</v>
      </c>
      <c r="O15" s="72"/>
      <c r="P15" s="72"/>
      <c r="Q15" s="73"/>
      <c r="R15" s="73"/>
      <c r="S15" s="73"/>
      <c r="T15" s="75"/>
      <c r="U15" s="74"/>
    </row>
    <row r="16" spans="1:21" s="76" customFormat="1" ht="30" customHeight="1">
      <c r="A16" s="234">
        <v>12</v>
      </c>
      <c r="B16" s="205" t="s">
        <v>25</v>
      </c>
      <c r="C16" s="206">
        <f>($A$200+$B$200)*'[16]نرخ تسهیم'!U14</f>
        <v>1420.2495488051097</v>
      </c>
      <c r="D16" s="207">
        <f t="shared" si="1"/>
        <v>1491.2620262453652</v>
      </c>
      <c r="E16" s="207">
        <f t="shared" si="1"/>
        <v>1565.8251275576336</v>
      </c>
      <c r="F16" s="207">
        <f t="shared" si="1"/>
        <v>1644.1163839355154</v>
      </c>
      <c r="G16" s="207">
        <f t="shared" si="1"/>
        <v>1726.3222031322912</v>
      </c>
      <c r="H16" s="207">
        <f t="shared" si="1"/>
        <v>1812.6383132889059</v>
      </c>
      <c r="I16" s="207">
        <f t="shared" si="1"/>
        <v>1903.2702289533513</v>
      </c>
      <c r="J16" s="207">
        <f t="shared" si="1"/>
        <v>1998.4337404010189</v>
      </c>
      <c r="K16" s="207">
        <f t="shared" si="1"/>
        <v>2098.3554274210701</v>
      </c>
      <c r="L16" s="207">
        <f t="shared" si="1"/>
        <v>2203.2731987921238</v>
      </c>
      <c r="M16" s="207">
        <f t="shared" si="1"/>
        <v>2313.4368587317299</v>
      </c>
      <c r="N16" s="207">
        <f t="shared" si="1"/>
        <v>2429.1087016683164</v>
      </c>
      <c r="O16" s="72"/>
      <c r="P16" s="72"/>
      <c r="Q16" s="73"/>
      <c r="R16" s="73"/>
      <c r="S16" s="73"/>
      <c r="T16" s="75"/>
      <c r="U16" s="74"/>
    </row>
    <row r="17" spans="1:21" s="76" customFormat="1" ht="30" customHeight="1">
      <c r="A17" s="234">
        <v>13</v>
      </c>
      <c r="B17" s="205" t="s">
        <v>26</v>
      </c>
      <c r="C17" s="206">
        <f>($A$200+$B$200)*'[16]نرخ تسهیم'!U15</f>
        <v>919.40277068723344</v>
      </c>
      <c r="D17" s="207">
        <f t="shared" si="1"/>
        <v>965.37290922159514</v>
      </c>
      <c r="E17" s="207">
        <f t="shared" si="1"/>
        <v>1013.641554682675</v>
      </c>
      <c r="F17" s="207">
        <f t="shared" si="1"/>
        <v>1064.3236324168088</v>
      </c>
      <c r="G17" s="207">
        <f t="shared" si="1"/>
        <v>1117.5398140376492</v>
      </c>
      <c r="H17" s="207">
        <f t="shared" si="1"/>
        <v>1173.4168047395317</v>
      </c>
      <c r="I17" s="207">
        <f t="shared" si="1"/>
        <v>1232.0876449765083</v>
      </c>
      <c r="J17" s="207">
        <f t="shared" si="1"/>
        <v>1293.6920272253337</v>
      </c>
      <c r="K17" s="207">
        <f t="shared" si="1"/>
        <v>1358.3766285866004</v>
      </c>
      <c r="L17" s="207">
        <f t="shared" si="1"/>
        <v>1426.2954600159305</v>
      </c>
      <c r="M17" s="207">
        <f t="shared" si="1"/>
        <v>1497.6102330167271</v>
      </c>
      <c r="N17" s="207">
        <f t="shared" si="1"/>
        <v>1572.4907446675636</v>
      </c>
      <c r="O17" s="72"/>
      <c r="P17" s="72"/>
      <c r="Q17" s="73"/>
      <c r="R17" s="73"/>
      <c r="S17" s="73"/>
      <c r="T17" s="75"/>
      <c r="U17" s="74"/>
    </row>
    <row r="18" spans="1:21" s="76" customFormat="1" ht="30" customHeight="1">
      <c r="A18" s="234">
        <v>14</v>
      </c>
      <c r="B18" s="205" t="s">
        <v>27</v>
      </c>
      <c r="C18" s="206">
        <f>($A$200+$B$200)*'[16]نرخ تسهیم'!U16</f>
        <v>6999.8646871433466</v>
      </c>
      <c r="D18" s="207">
        <f t="shared" si="1"/>
        <v>7349.8579215005138</v>
      </c>
      <c r="E18" s="207">
        <f t="shared" si="1"/>
        <v>7717.3508175755396</v>
      </c>
      <c r="F18" s="207">
        <f t="shared" si="1"/>
        <v>8103.2183584543172</v>
      </c>
      <c r="G18" s="207">
        <f t="shared" si="1"/>
        <v>8508.3792763770343</v>
      </c>
      <c r="H18" s="207">
        <f t="shared" si="1"/>
        <v>8933.798240195887</v>
      </c>
      <c r="I18" s="207">
        <f t="shared" si="1"/>
        <v>9380.4881522056821</v>
      </c>
      <c r="J18" s="207">
        <f t="shared" si="1"/>
        <v>9849.5125598159666</v>
      </c>
      <c r="K18" s="207">
        <f t="shared" si="1"/>
        <v>10341.988187806764</v>
      </c>
      <c r="L18" s="207">
        <f t="shared" si="1"/>
        <v>10859.087597197104</v>
      </c>
      <c r="M18" s="207">
        <f t="shared" si="1"/>
        <v>11402.041977056959</v>
      </c>
      <c r="N18" s="207">
        <f t="shared" si="1"/>
        <v>11972.144075909808</v>
      </c>
      <c r="O18" s="72"/>
      <c r="P18" s="72"/>
      <c r="Q18" s="73"/>
      <c r="R18" s="73"/>
      <c r="S18" s="73"/>
      <c r="T18" s="75"/>
      <c r="U18" s="74"/>
    </row>
    <row r="19" spans="1:21" s="76" customFormat="1" ht="30" customHeight="1">
      <c r="A19" s="234">
        <v>15</v>
      </c>
      <c r="B19" s="205" t="s">
        <v>28</v>
      </c>
      <c r="C19" s="206">
        <f>($A$200+$B$200)*'[16]نرخ تسهیم'!U17</f>
        <v>1259.6721693212651</v>
      </c>
      <c r="D19" s="207">
        <f t="shared" si="1"/>
        <v>1322.6557777873284</v>
      </c>
      <c r="E19" s="207">
        <f t="shared" si="1"/>
        <v>1388.7885666766949</v>
      </c>
      <c r="F19" s="207">
        <f t="shared" si="1"/>
        <v>1458.2279950105296</v>
      </c>
      <c r="G19" s="207">
        <f t="shared" si="1"/>
        <v>1531.1393947610561</v>
      </c>
      <c r="H19" s="207">
        <f t="shared" si="1"/>
        <v>1607.696364499109</v>
      </c>
      <c r="I19" s="207">
        <f t="shared" si="1"/>
        <v>1688.0811827240645</v>
      </c>
      <c r="J19" s="207">
        <f t="shared" si="1"/>
        <v>1772.4852418602679</v>
      </c>
      <c r="K19" s="207">
        <f t="shared" si="1"/>
        <v>1861.1095039532813</v>
      </c>
      <c r="L19" s="207">
        <f t="shared" si="1"/>
        <v>1954.1649791509456</v>
      </c>
      <c r="M19" s="207">
        <f t="shared" si="1"/>
        <v>2051.8732281084931</v>
      </c>
      <c r="N19" s="207">
        <f t="shared" si="1"/>
        <v>2154.466889513918</v>
      </c>
      <c r="O19" s="72"/>
      <c r="P19" s="72"/>
      <c r="Q19" s="73"/>
      <c r="R19" s="73"/>
      <c r="S19" s="73"/>
      <c r="T19" s="75"/>
      <c r="U19" s="74"/>
    </row>
    <row r="20" spans="1:21" s="76" customFormat="1" ht="30" customHeight="1">
      <c r="A20" s="234">
        <v>16</v>
      </c>
      <c r="B20" s="205" t="s">
        <v>29</v>
      </c>
      <c r="C20" s="206">
        <f>($A$200+$B$200)*'[16]نرخ تسهیم'!U18</f>
        <v>543.26614531241421</v>
      </c>
      <c r="D20" s="207">
        <f t="shared" si="1"/>
        <v>570.4294525780349</v>
      </c>
      <c r="E20" s="207">
        <f t="shared" si="1"/>
        <v>598.95092520693663</v>
      </c>
      <c r="F20" s="207">
        <f t="shared" si="1"/>
        <v>628.89847146728346</v>
      </c>
      <c r="G20" s="207">
        <f t="shared" si="1"/>
        <v>660.34339504064769</v>
      </c>
      <c r="H20" s="207">
        <f t="shared" si="1"/>
        <v>693.36056479268007</v>
      </c>
      <c r="I20" s="207">
        <f t="shared" si="1"/>
        <v>728.02859303231412</v>
      </c>
      <c r="J20" s="207">
        <f t="shared" si="1"/>
        <v>764.43002268392991</v>
      </c>
      <c r="K20" s="207">
        <f t="shared" si="1"/>
        <v>802.65152381812641</v>
      </c>
      <c r="L20" s="207">
        <f t="shared" si="1"/>
        <v>842.78410000903273</v>
      </c>
      <c r="M20" s="207">
        <f t="shared" si="1"/>
        <v>884.92330500948435</v>
      </c>
      <c r="N20" s="207">
        <f t="shared" si="1"/>
        <v>929.16947025995864</v>
      </c>
      <c r="O20" s="72"/>
      <c r="P20" s="72"/>
      <c r="Q20" s="73"/>
      <c r="R20" s="73"/>
      <c r="S20" s="73"/>
      <c r="T20" s="75"/>
      <c r="U20" s="74"/>
    </row>
    <row r="21" spans="1:21" s="76" customFormat="1" ht="30" customHeight="1">
      <c r="A21" s="234">
        <v>17</v>
      </c>
      <c r="B21" s="205" t="s">
        <v>30</v>
      </c>
      <c r="C21" s="206">
        <f>($A$200+$B$200)*'[16]نرخ تسهیم'!U19</f>
        <v>4034.3980415499495</v>
      </c>
      <c r="D21" s="207">
        <f t="shared" si="1"/>
        <v>4236.1179436274469</v>
      </c>
      <c r="E21" s="207">
        <f t="shared" si="1"/>
        <v>4447.9238408088195</v>
      </c>
      <c r="F21" s="207">
        <f t="shared" si="1"/>
        <v>4670.3200328492603</v>
      </c>
      <c r="G21" s="207">
        <f t="shared" si="1"/>
        <v>4903.8360344917237</v>
      </c>
      <c r="H21" s="207">
        <f t="shared" si="1"/>
        <v>5149.0278362163099</v>
      </c>
      <c r="I21" s="207">
        <f t="shared" si="1"/>
        <v>5406.4792280271258</v>
      </c>
      <c r="J21" s="207">
        <f t="shared" si="1"/>
        <v>5676.8031894284823</v>
      </c>
      <c r="K21" s="207">
        <f t="shared" si="1"/>
        <v>5960.6433488999064</v>
      </c>
      <c r="L21" s="207">
        <f t="shared" si="1"/>
        <v>6258.6755163449016</v>
      </c>
      <c r="M21" s="207">
        <f t="shared" si="1"/>
        <v>6571.6092921621466</v>
      </c>
      <c r="N21" s="207">
        <f t="shared" si="1"/>
        <v>6900.1897567702545</v>
      </c>
      <c r="O21" s="72"/>
      <c r="P21" s="72"/>
      <c r="Q21" s="73"/>
      <c r="R21" s="73"/>
      <c r="S21" s="73"/>
      <c r="T21" s="75"/>
      <c r="U21" s="74"/>
    </row>
    <row r="22" spans="1:21" s="76" customFormat="1" ht="30" customHeight="1">
      <c r="A22" s="234">
        <v>18</v>
      </c>
      <c r="B22" s="205" t="s">
        <v>31</v>
      </c>
      <c r="C22" s="206">
        <f>($A$200+$B$200)*'[16]نرخ تسهیم'!U20</f>
        <v>1210.9033444146307</v>
      </c>
      <c r="D22" s="207">
        <f t="shared" ref="D22:N36" si="2">C22*1.05</f>
        <v>1271.4485116353624</v>
      </c>
      <c r="E22" s="207">
        <f t="shared" si="2"/>
        <v>1335.0209372171305</v>
      </c>
      <c r="F22" s="207">
        <f t="shared" si="2"/>
        <v>1401.7719840779871</v>
      </c>
      <c r="G22" s="207">
        <f t="shared" si="2"/>
        <v>1471.8605832818864</v>
      </c>
      <c r="H22" s="207">
        <f t="shared" si="2"/>
        <v>1545.4536124459808</v>
      </c>
      <c r="I22" s="207">
        <f t="shared" si="2"/>
        <v>1622.7262930682798</v>
      </c>
      <c r="J22" s="207">
        <f t="shared" si="2"/>
        <v>1703.8626077216938</v>
      </c>
      <c r="K22" s="207">
        <f t="shared" si="2"/>
        <v>1789.0557381077786</v>
      </c>
      <c r="L22" s="207">
        <f t="shared" si="2"/>
        <v>1878.5085250131676</v>
      </c>
      <c r="M22" s="207">
        <f t="shared" si="2"/>
        <v>1972.4339512638262</v>
      </c>
      <c r="N22" s="207">
        <f t="shared" si="2"/>
        <v>2071.0556488270176</v>
      </c>
      <c r="O22" s="72"/>
      <c r="P22" s="72"/>
      <c r="Q22" s="73"/>
      <c r="R22" s="73"/>
      <c r="S22" s="73"/>
      <c r="T22" s="75"/>
      <c r="U22" s="74"/>
    </row>
    <row r="23" spans="1:21" s="76" customFormat="1" ht="30" customHeight="1">
      <c r="A23" s="234">
        <v>19</v>
      </c>
      <c r="B23" s="205" t="s">
        <v>32</v>
      </c>
      <c r="C23" s="206">
        <f>($A$200+$B$200)*'[16]نرخ تسهیم'!U21</f>
        <v>832.25356166080269</v>
      </c>
      <c r="D23" s="207">
        <f t="shared" si="2"/>
        <v>873.86623974384281</v>
      </c>
      <c r="E23" s="207">
        <f t="shared" si="2"/>
        <v>917.55955173103496</v>
      </c>
      <c r="F23" s="207">
        <f t="shared" si="2"/>
        <v>963.43752931758672</v>
      </c>
      <c r="G23" s="207">
        <f t="shared" si="2"/>
        <v>1011.6094057834661</v>
      </c>
      <c r="H23" s="207">
        <f t="shared" si="2"/>
        <v>1062.1898760726394</v>
      </c>
      <c r="I23" s="207">
        <f t="shared" si="2"/>
        <v>1115.2993698762714</v>
      </c>
      <c r="J23" s="207">
        <f t="shared" si="2"/>
        <v>1171.0643383700849</v>
      </c>
      <c r="K23" s="207">
        <f t="shared" si="2"/>
        <v>1229.6175552885893</v>
      </c>
      <c r="L23" s="207">
        <f t="shared" si="2"/>
        <v>1291.0984330530189</v>
      </c>
      <c r="M23" s="207">
        <f t="shared" si="2"/>
        <v>1355.6533547056699</v>
      </c>
      <c r="N23" s="207">
        <f t="shared" si="2"/>
        <v>1423.4360224409536</v>
      </c>
      <c r="O23" s="72"/>
      <c r="P23" s="72"/>
      <c r="Q23" s="73"/>
      <c r="R23" s="73"/>
      <c r="S23" s="73"/>
      <c r="T23" s="75"/>
      <c r="U23" s="74"/>
    </row>
    <row r="24" spans="1:21" s="76" customFormat="1" ht="30" customHeight="1">
      <c r="A24" s="234">
        <v>20</v>
      </c>
      <c r="B24" s="205" t="s">
        <v>33</v>
      </c>
      <c r="C24" s="206">
        <f>($A$200+$B$200)*'[16]نرخ تسهیم'!U22</f>
        <v>336.32442714297486</v>
      </c>
      <c r="D24" s="207">
        <f t="shared" si="2"/>
        <v>353.14064850012363</v>
      </c>
      <c r="E24" s="207">
        <f t="shared" si="2"/>
        <v>370.79768092512984</v>
      </c>
      <c r="F24" s="207">
        <f t="shared" si="2"/>
        <v>389.33756497138637</v>
      </c>
      <c r="G24" s="207">
        <f t="shared" si="2"/>
        <v>408.80444321995571</v>
      </c>
      <c r="H24" s="207">
        <f t="shared" si="2"/>
        <v>429.24466538095351</v>
      </c>
      <c r="I24" s="207">
        <f t="shared" si="2"/>
        <v>450.70689865000122</v>
      </c>
      <c r="J24" s="207">
        <f t="shared" si="2"/>
        <v>473.24224358250132</v>
      </c>
      <c r="K24" s="207">
        <f t="shared" si="2"/>
        <v>496.90435576162639</v>
      </c>
      <c r="L24" s="207">
        <f t="shared" si="2"/>
        <v>521.74957354970775</v>
      </c>
      <c r="M24" s="207">
        <f t="shared" si="2"/>
        <v>547.83705222719311</v>
      </c>
      <c r="N24" s="207">
        <f t="shared" si="2"/>
        <v>575.22890483855281</v>
      </c>
      <c r="O24" s="72"/>
      <c r="P24" s="72"/>
      <c r="Q24" s="73"/>
      <c r="R24" s="73"/>
      <c r="S24" s="73"/>
      <c r="T24" s="75"/>
      <c r="U24" s="74"/>
    </row>
    <row r="25" spans="1:21" s="76" customFormat="1" ht="30" customHeight="1">
      <c r="A25" s="234">
        <v>21</v>
      </c>
      <c r="B25" s="205" t="s">
        <v>34</v>
      </c>
      <c r="C25" s="206">
        <f>($A$200+$B$200)*'[16]نرخ تسهیم'!U23</f>
        <v>2708.9741079791074</v>
      </c>
      <c r="D25" s="207">
        <f t="shared" si="2"/>
        <v>2844.422813378063</v>
      </c>
      <c r="E25" s="207">
        <f t="shared" si="2"/>
        <v>2986.6439540469664</v>
      </c>
      <c r="F25" s="207">
        <f t="shared" si="2"/>
        <v>3135.9761517493148</v>
      </c>
      <c r="G25" s="207">
        <f t="shared" si="2"/>
        <v>3292.7749593367807</v>
      </c>
      <c r="H25" s="207">
        <f t="shared" si="2"/>
        <v>3457.41370730362</v>
      </c>
      <c r="I25" s="207">
        <f t="shared" si="2"/>
        <v>3630.284392668801</v>
      </c>
      <c r="J25" s="207">
        <f t="shared" si="2"/>
        <v>3811.7986123022411</v>
      </c>
      <c r="K25" s="207">
        <f t="shared" si="2"/>
        <v>4002.3885429173533</v>
      </c>
      <c r="L25" s="207">
        <f t="shared" si="2"/>
        <v>4202.5079700632214</v>
      </c>
      <c r="M25" s="207">
        <f t="shared" si="2"/>
        <v>4412.6333685663831</v>
      </c>
      <c r="N25" s="207">
        <f t="shared" si="2"/>
        <v>4633.2650369947023</v>
      </c>
      <c r="O25" s="72"/>
      <c r="P25" s="72"/>
      <c r="Q25" s="73"/>
      <c r="R25" s="73"/>
      <c r="S25" s="73"/>
      <c r="T25" s="75"/>
      <c r="U25" s="74"/>
    </row>
    <row r="26" spans="1:21" s="76" customFormat="1" ht="30" customHeight="1">
      <c r="A26" s="234">
        <v>22</v>
      </c>
      <c r="B26" s="205" t="s">
        <v>35</v>
      </c>
      <c r="C26" s="206">
        <f>($A$200+$B$200)*'[16]نرخ تسهیم'!U24</f>
        <v>528.90510263785575</v>
      </c>
      <c r="D26" s="207">
        <f t="shared" si="2"/>
        <v>555.3503577697486</v>
      </c>
      <c r="E26" s="207">
        <f t="shared" si="2"/>
        <v>583.11787565823602</v>
      </c>
      <c r="F26" s="207">
        <f t="shared" si="2"/>
        <v>612.27376944114781</v>
      </c>
      <c r="G26" s="207">
        <f t="shared" si="2"/>
        <v>642.88745791320525</v>
      </c>
      <c r="H26" s="207">
        <f t="shared" si="2"/>
        <v>675.03183080886549</v>
      </c>
      <c r="I26" s="207">
        <f t="shared" si="2"/>
        <v>708.78342234930881</v>
      </c>
      <c r="J26" s="207">
        <f t="shared" si="2"/>
        <v>744.22259346677424</v>
      </c>
      <c r="K26" s="207">
        <f t="shared" si="2"/>
        <v>781.43372314011299</v>
      </c>
      <c r="L26" s="207">
        <f t="shared" si="2"/>
        <v>820.50540929711872</v>
      </c>
      <c r="M26" s="207">
        <f t="shared" si="2"/>
        <v>861.53067976197474</v>
      </c>
      <c r="N26" s="207">
        <f t="shared" si="2"/>
        <v>904.60721375007347</v>
      </c>
      <c r="O26" s="72"/>
      <c r="P26" s="72"/>
      <c r="Q26" s="73"/>
      <c r="R26" s="73"/>
      <c r="S26" s="73"/>
      <c r="T26" s="75"/>
      <c r="U26" s="74"/>
    </row>
    <row r="27" spans="1:21" s="76" customFormat="1" ht="30" customHeight="1">
      <c r="A27" s="234">
        <v>23</v>
      </c>
      <c r="B27" s="205" t="s">
        <v>36</v>
      </c>
      <c r="C27" s="206">
        <f>($A$200+$B$200)*'[16]نرخ تسهیم'!U25</f>
        <v>1870.5679804583503</v>
      </c>
      <c r="D27" s="207">
        <f t="shared" si="2"/>
        <v>1964.0963794812681</v>
      </c>
      <c r="E27" s="207">
        <f t="shared" si="2"/>
        <v>2062.3011984553314</v>
      </c>
      <c r="F27" s="207">
        <f t="shared" si="2"/>
        <v>2165.4162583780981</v>
      </c>
      <c r="G27" s="207">
        <f t="shared" si="2"/>
        <v>2273.6870712970031</v>
      </c>
      <c r="H27" s="207">
        <f t="shared" si="2"/>
        <v>2387.3714248618535</v>
      </c>
      <c r="I27" s="207">
        <f t="shared" si="2"/>
        <v>2506.7399961049464</v>
      </c>
      <c r="J27" s="207">
        <f t="shared" si="2"/>
        <v>2632.076995910194</v>
      </c>
      <c r="K27" s="207">
        <f t="shared" si="2"/>
        <v>2763.6808457057036</v>
      </c>
      <c r="L27" s="207">
        <f t="shared" si="2"/>
        <v>2901.8648879909888</v>
      </c>
      <c r="M27" s="207">
        <f t="shared" si="2"/>
        <v>3046.9581323905381</v>
      </c>
      <c r="N27" s="207">
        <f t="shared" si="2"/>
        <v>3199.306039010065</v>
      </c>
      <c r="O27" s="72"/>
      <c r="P27" s="72"/>
      <c r="Q27" s="73"/>
      <c r="R27" s="73"/>
      <c r="S27" s="73"/>
      <c r="T27" s="75"/>
      <c r="U27" s="74"/>
    </row>
    <row r="28" spans="1:21" s="76" customFormat="1" ht="30" customHeight="1">
      <c r="A28" s="234">
        <v>24</v>
      </c>
      <c r="B28" s="205" t="s">
        <v>37</v>
      </c>
      <c r="C28" s="206">
        <f>($A$200+$B$200)*'[16]نرخ تسهیم'!U26</f>
        <v>1780.5288784821626</v>
      </c>
      <c r="D28" s="207">
        <f t="shared" si="2"/>
        <v>1869.5553224062708</v>
      </c>
      <c r="E28" s="207">
        <f t="shared" si="2"/>
        <v>1963.0330885265844</v>
      </c>
      <c r="F28" s="207">
        <f t="shared" si="2"/>
        <v>2061.1847429529139</v>
      </c>
      <c r="G28" s="207">
        <f t="shared" si="2"/>
        <v>2164.2439801005598</v>
      </c>
      <c r="H28" s="207">
        <f t="shared" si="2"/>
        <v>2272.456179105588</v>
      </c>
      <c r="I28" s="207">
        <f t="shared" si="2"/>
        <v>2386.0789880608677</v>
      </c>
      <c r="J28" s="207">
        <f t="shared" si="2"/>
        <v>2505.3829374639113</v>
      </c>
      <c r="K28" s="207">
        <f t="shared" si="2"/>
        <v>2630.6520843371068</v>
      </c>
      <c r="L28" s="207">
        <f t="shared" si="2"/>
        <v>2762.1846885539621</v>
      </c>
      <c r="M28" s="207">
        <f t="shared" si="2"/>
        <v>2900.2939229816602</v>
      </c>
      <c r="N28" s="207">
        <f t="shared" si="2"/>
        <v>3045.3086191307434</v>
      </c>
      <c r="O28" s="72"/>
      <c r="P28" s="72"/>
      <c r="Q28" s="73"/>
      <c r="R28" s="73"/>
      <c r="S28" s="73"/>
      <c r="T28" s="75"/>
      <c r="U28" s="74"/>
    </row>
    <row r="29" spans="1:21" s="76" customFormat="1" ht="30" customHeight="1">
      <c r="A29" s="234">
        <v>25</v>
      </c>
      <c r="B29" s="205" t="s">
        <v>38</v>
      </c>
      <c r="C29" s="206">
        <f>($A$200+$B$200)*'[16]نرخ تسهیم'!U27</f>
        <v>2026.3647407980302</v>
      </c>
      <c r="D29" s="207">
        <f t="shared" si="2"/>
        <v>2127.682977837932</v>
      </c>
      <c r="E29" s="207">
        <f t="shared" si="2"/>
        <v>2234.0671267298285</v>
      </c>
      <c r="F29" s="207">
        <f t="shared" si="2"/>
        <v>2345.7704830663201</v>
      </c>
      <c r="G29" s="207">
        <f t="shared" si="2"/>
        <v>2463.0590072196364</v>
      </c>
      <c r="H29" s="207">
        <f t="shared" si="2"/>
        <v>2586.2119575806182</v>
      </c>
      <c r="I29" s="207">
        <f t="shared" si="2"/>
        <v>2715.5225554596491</v>
      </c>
      <c r="J29" s="207">
        <f t="shared" si="2"/>
        <v>2851.2986832326314</v>
      </c>
      <c r="K29" s="207">
        <f t="shared" si="2"/>
        <v>2993.8636173942632</v>
      </c>
      <c r="L29" s="207">
        <f t="shared" si="2"/>
        <v>3143.5567982639764</v>
      </c>
      <c r="M29" s="207">
        <f t="shared" si="2"/>
        <v>3300.7346381771754</v>
      </c>
      <c r="N29" s="207">
        <f t="shared" si="2"/>
        <v>3465.7713700860345</v>
      </c>
      <c r="O29" s="72"/>
      <c r="P29" s="72"/>
      <c r="Q29" s="73"/>
      <c r="R29" s="73"/>
      <c r="S29" s="73"/>
      <c r="T29" s="75"/>
      <c r="U29" s="74"/>
    </row>
    <row r="30" spans="1:21" s="76" customFormat="1" ht="30" customHeight="1">
      <c r="A30" s="234">
        <v>26</v>
      </c>
      <c r="B30" s="205" t="s">
        <v>39</v>
      </c>
      <c r="C30" s="206">
        <f>($A$200+$B$200)*'[16]نرخ تسهیم'!U28</f>
        <v>4704.3308787717378</v>
      </c>
      <c r="D30" s="207">
        <f t="shared" si="2"/>
        <v>4939.547422710325</v>
      </c>
      <c r="E30" s="207">
        <f t="shared" si="2"/>
        <v>5186.5247938458415</v>
      </c>
      <c r="F30" s="207">
        <f t="shared" si="2"/>
        <v>5445.8510335381334</v>
      </c>
      <c r="G30" s="207">
        <f t="shared" si="2"/>
        <v>5718.1435852150407</v>
      </c>
      <c r="H30" s="207">
        <f t="shared" si="2"/>
        <v>6004.0507644757927</v>
      </c>
      <c r="I30" s="207">
        <f t="shared" si="2"/>
        <v>6304.2533026995825</v>
      </c>
      <c r="J30" s="207">
        <f t="shared" si="2"/>
        <v>6619.4659678345615</v>
      </c>
      <c r="K30" s="207">
        <f t="shared" si="2"/>
        <v>6950.4392662262899</v>
      </c>
      <c r="L30" s="207">
        <f t="shared" si="2"/>
        <v>7297.9612295376046</v>
      </c>
      <c r="M30" s="207">
        <f t="shared" si="2"/>
        <v>7662.8592910144853</v>
      </c>
      <c r="N30" s="207">
        <f t="shared" si="2"/>
        <v>8046.0022555652095</v>
      </c>
      <c r="O30" s="72"/>
      <c r="P30" s="72"/>
      <c r="Q30" s="73"/>
      <c r="R30" s="73"/>
      <c r="S30" s="73"/>
      <c r="T30" s="75"/>
      <c r="U30" s="74"/>
    </row>
    <row r="31" spans="1:21" s="76" customFormat="1" ht="30" customHeight="1">
      <c r="A31" s="234">
        <v>27</v>
      </c>
      <c r="B31" s="205" t="s">
        <v>40</v>
      </c>
      <c r="C31" s="206">
        <f>($A$200+$B$200)*'[16]نرخ تسهیم'!U29</f>
        <v>2166.0720588499644</v>
      </c>
      <c r="D31" s="207">
        <f t="shared" si="2"/>
        <v>2274.3756617924628</v>
      </c>
      <c r="E31" s="207">
        <f t="shared" si="2"/>
        <v>2388.094444882086</v>
      </c>
      <c r="F31" s="207">
        <f t="shared" si="2"/>
        <v>2507.4991671261905</v>
      </c>
      <c r="G31" s="207">
        <f t="shared" si="2"/>
        <v>2632.8741254824999</v>
      </c>
      <c r="H31" s="207">
        <f t="shared" si="2"/>
        <v>2764.5178317566251</v>
      </c>
      <c r="I31" s="207">
        <f t="shared" si="2"/>
        <v>2902.7437233444566</v>
      </c>
      <c r="J31" s="207">
        <f t="shared" si="2"/>
        <v>3047.8809095116794</v>
      </c>
      <c r="K31" s="207">
        <f t="shared" si="2"/>
        <v>3200.2749549872633</v>
      </c>
      <c r="L31" s="207">
        <f t="shared" si="2"/>
        <v>3360.2887027366264</v>
      </c>
      <c r="M31" s="207">
        <f t="shared" si="2"/>
        <v>3528.3031378734577</v>
      </c>
      <c r="N31" s="207">
        <f t="shared" si="2"/>
        <v>3704.7182947671308</v>
      </c>
      <c r="O31" s="72"/>
      <c r="P31" s="72"/>
      <c r="Q31" s="73"/>
      <c r="R31" s="73"/>
      <c r="S31" s="73"/>
      <c r="T31" s="75"/>
      <c r="U31" s="74"/>
    </row>
    <row r="32" spans="1:21" s="76" customFormat="1" ht="30" customHeight="1">
      <c r="A32" s="234">
        <v>28</v>
      </c>
      <c r="B32" s="205" t="s">
        <v>41</v>
      </c>
      <c r="C32" s="206">
        <f>($A$200+$B$200)*'[16]نرخ تسهیم'!U30</f>
        <v>12276.866046348334</v>
      </c>
      <c r="D32" s="207">
        <f t="shared" si="2"/>
        <v>12890.70934866575</v>
      </c>
      <c r="E32" s="207">
        <f t="shared" si="2"/>
        <v>13535.244816099039</v>
      </c>
      <c r="F32" s="207">
        <f t="shared" si="2"/>
        <v>14212.007056903991</v>
      </c>
      <c r="G32" s="207">
        <f t="shared" si="2"/>
        <v>14922.607409749191</v>
      </c>
      <c r="H32" s="207">
        <f t="shared" si="2"/>
        <v>15668.737780236652</v>
      </c>
      <c r="I32" s="207">
        <f t="shared" si="2"/>
        <v>16452.174669248485</v>
      </c>
      <c r="J32" s="207">
        <f t="shared" si="2"/>
        <v>17274.783402710909</v>
      </c>
      <c r="K32" s="207">
        <f t="shared" si="2"/>
        <v>18138.522572846454</v>
      </c>
      <c r="L32" s="207">
        <f t="shared" si="2"/>
        <v>19045.448701488778</v>
      </c>
      <c r="M32" s="207">
        <f t="shared" si="2"/>
        <v>19997.721136563217</v>
      </c>
      <c r="N32" s="207">
        <f t="shared" si="2"/>
        <v>20997.607193391381</v>
      </c>
      <c r="O32" s="72"/>
      <c r="P32" s="72"/>
      <c r="Q32" s="73"/>
      <c r="R32" s="73"/>
      <c r="S32" s="73"/>
      <c r="T32" s="75"/>
      <c r="U32" s="74"/>
    </row>
    <row r="33" spans="1:21" s="76" customFormat="1" ht="30" customHeight="1">
      <c r="A33" s="234">
        <v>29</v>
      </c>
      <c r="B33" s="205" t="s">
        <v>42</v>
      </c>
      <c r="C33" s="206">
        <f>($A$200+$B$200)*'[16]نرخ تسهیم'!U31</f>
        <v>186.44363451394227</v>
      </c>
      <c r="D33" s="207">
        <f t="shared" si="2"/>
        <v>195.76581623963941</v>
      </c>
      <c r="E33" s="207">
        <f t="shared" si="2"/>
        <v>205.55410705162137</v>
      </c>
      <c r="F33" s="207">
        <f t="shared" si="2"/>
        <v>215.83181240420245</v>
      </c>
      <c r="G33" s="207">
        <f t="shared" si="2"/>
        <v>226.6234030244126</v>
      </c>
      <c r="H33" s="207">
        <f t="shared" si="2"/>
        <v>237.95457317563324</v>
      </c>
      <c r="I33" s="207">
        <f t="shared" si="2"/>
        <v>249.8523018344149</v>
      </c>
      <c r="J33" s="207">
        <f t="shared" si="2"/>
        <v>262.34491692613568</v>
      </c>
      <c r="K33" s="207">
        <f t="shared" si="2"/>
        <v>275.46216277244247</v>
      </c>
      <c r="L33" s="207">
        <f t="shared" si="2"/>
        <v>289.23527091106462</v>
      </c>
      <c r="M33" s="207">
        <f t="shared" si="2"/>
        <v>303.69703445661787</v>
      </c>
      <c r="N33" s="207">
        <f t="shared" si="2"/>
        <v>318.88188617944877</v>
      </c>
      <c r="O33" s="72"/>
      <c r="P33" s="72"/>
      <c r="Q33" s="73"/>
      <c r="R33" s="73"/>
      <c r="S33" s="73"/>
      <c r="T33" s="75"/>
      <c r="U33" s="74"/>
    </row>
    <row r="34" spans="1:21" s="76" customFormat="1" ht="30" customHeight="1">
      <c r="A34" s="234">
        <v>30</v>
      </c>
      <c r="B34" s="205" t="s">
        <v>43</v>
      </c>
      <c r="C34" s="206">
        <f>($A$200+$B$200)*'[16]نرخ تسهیم'!U32</f>
        <v>3139.1968971182782</v>
      </c>
      <c r="D34" s="207">
        <f t="shared" si="2"/>
        <v>3296.1567419741923</v>
      </c>
      <c r="E34" s="207">
        <f t="shared" si="2"/>
        <v>3460.9645790729019</v>
      </c>
      <c r="F34" s="207">
        <f t="shared" si="2"/>
        <v>3634.0128080265472</v>
      </c>
      <c r="G34" s="207">
        <f t="shared" si="2"/>
        <v>3815.7134484278749</v>
      </c>
      <c r="H34" s="207">
        <f t="shared" si="2"/>
        <v>4006.4991208492688</v>
      </c>
      <c r="I34" s="207">
        <f t="shared" si="2"/>
        <v>4206.8240768917321</v>
      </c>
      <c r="J34" s="207">
        <f t="shared" si="2"/>
        <v>4417.1652807363189</v>
      </c>
      <c r="K34" s="207">
        <f t="shared" si="2"/>
        <v>4638.0235447731347</v>
      </c>
      <c r="L34" s="207">
        <f t="shared" si="2"/>
        <v>4869.9247220117913</v>
      </c>
      <c r="M34" s="207">
        <f t="shared" si="2"/>
        <v>5113.4209581123814</v>
      </c>
      <c r="N34" s="207">
        <f t="shared" si="2"/>
        <v>5369.0920060180006</v>
      </c>
      <c r="O34" s="72"/>
      <c r="P34" s="72"/>
      <c r="Q34" s="73"/>
      <c r="R34" s="73"/>
      <c r="S34" s="73"/>
      <c r="T34" s="75"/>
      <c r="U34" s="74"/>
    </row>
    <row r="35" spans="1:21" s="76" customFormat="1" ht="30" customHeight="1">
      <c r="A35" s="234">
        <v>31</v>
      </c>
      <c r="B35" s="205" t="s">
        <v>44</v>
      </c>
      <c r="C35" s="206">
        <f>($A$200+$B$200)*'[16]نرخ تسهیم'!U33</f>
        <v>1599.7858751562569</v>
      </c>
      <c r="D35" s="207">
        <f t="shared" si="2"/>
        <v>1679.7751689140698</v>
      </c>
      <c r="E35" s="207">
        <f t="shared" si="2"/>
        <v>1763.7639273597733</v>
      </c>
      <c r="F35" s="207">
        <f t="shared" si="2"/>
        <v>1851.952123727762</v>
      </c>
      <c r="G35" s="207">
        <f t="shared" si="2"/>
        <v>1944.5497299141502</v>
      </c>
      <c r="H35" s="207">
        <f t="shared" si="2"/>
        <v>2041.7772164098578</v>
      </c>
      <c r="I35" s="207">
        <f t="shared" si="2"/>
        <v>2143.8660772303506</v>
      </c>
      <c r="J35" s="207">
        <f t="shared" si="2"/>
        <v>2251.0593810918681</v>
      </c>
      <c r="K35" s="207">
        <f t="shared" si="2"/>
        <v>2363.6123501464617</v>
      </c>
      <c r="L35" s="207">
        <f t="shared" si="2"/>
        <v>2481.7929676537851</v>
      </c>
      <c r="M35" s="207">
        <f t="shared" si="2"/>
        <v>2605.8826160364747</v>
      </c>
      <c r="N35" s="207">
        <f t="shared" si="2"/>
        <v>2736.1767468382986</v>
      </c>
      <c r="O35" s="72"/>
      <c r="P35" s="72"/>
      <c r="Q35" s="73"/>
      <c r="R35" s="73"/>
      <c r="S35" s="73"/>
      <c r="T35" s="75"/>
      <c r="U35" s="74"/>
    </row>
    <row r="36" spans="1:21" s="76" customFormat="1" ht="30" customHeight="1">
      <c r="A36" s="234">
        <v>32</v>
      </c>
      <c r="B36" s="205" t="s">
        <v>45</v>
      </c>
      <c r="C36" s="206">
        <f>($A$200+$B$200)*'[16]نرخ تسهیم'!U34</f>
        <v>899.96664360976513</v>
      </c>
      <c r="D36" s="207">
        <f t="shared" si="2"/>
        <v>944.96497579025345</v>
      </c>
      <c r="E36" s="207">
        <f t="shared" si="2"/>
        <v>992.21322457976612</v>
      </c>
      <c r="F36" s="207">
        <f t="shared" si="2"/>
        <v>1041.8238858087545</v>
      </c>
      <c r="G36" s="207">
        <f t="shared" si="2"/>
        <v>1093.9150800991922</v>
      </c>
      <c r="H36" s="207">
        <f t="shared" si="2"/>
        <v>1148.6108341041518</v>
      </c>
      <c r="I36" s="207">
        <f t="shared" si="2"/>
        <v>1206.0413758093594</v>
      </c>
      <c r="J36" s="207">
        <f t="shared" si="2"/>
        <v>1266.3434445998273</v>
      </c>
      <c r="K36" s="207">
        <f t="shared" si="2"/>
        <v>1329.6606168298188</v>
      </c>
      <c r="L36" s="207">
        <f t="shared" si="2"/>
        <v>1396.1436476713097</v>
      </c>
      <c r="M36" s="207">
        <f t="shared" si="2"/>
        <v>1465.9508300548753</v>
      </c>
      <c r="N36" s="207">
        <f t="shared" si="2"/>
        <v>1539.2483715576191</v>
      </c>
      <c r="O36" s="72"/>
      <c r="P36" s="72"/>
      <c r="Q36" s="73"/>
      <c r="R36" s="73"/>
      <c r="S36" s="73"/>
      <c r="T36" s="75"/>
      <c r="U36" s="74"/>
    </row>
    <row r="37" spans="1:21" s="79" customFormat="1" ht="30" customHeight="1">
      <c r="A37" s="412" t="s">
        <v>107</v>
      </c>
      <c r="B37" s="412"/>
      <c r="C37" s="206">
        <f t="shared" ref="C37:N37" si="3">SUM(C5:C36)</f>
        <v>75340.994000000006</v>
      </c>
      <c r="D37" s="206">
        <f t="shared" si="3"/>
        <v>79108.043700000009</v>
      </c>
      <c r="E37" s="206">
        <f t="shared" si="3"/>
        <v>83063.445885000023</v>
      </c>
      <c r="F37" s="206">
        <f t="shared" si="3"/>
        <v>87216.618179250028</v>
      </c>
      <c r="G37" s="206">
        <f t="shared" si="3"/>
        <v>91577.449088212525</v>
      </c>
      <c r="H37" s="206">
        <f t="shared" si="3"/>
        <v>96156.321542623162</v>
      </c>
      <c r="I37" s="206">
        <f t="shared" si="3"/>
        <v>100964.13761975431</v>
      </c>
      <c r="J37" s="206">
        <f t="shared" si="3"/>
        <v>106012.34450074201</v>
      </c>
      <c r="K37" s="206">
        <f t="shared" si="3"/>
        <v>111312.96172577914</v>
      </c>
      <c r="L37" s="206">
        <f t="shared" si="3"/>
        <v>116878.6098120681</v>
      </c>
      <c r="M37" s="206">
        <f t="shared" si="3"/>
        <v>122722.54030267149</v>
      </c>
      <c r="N37" s="206">
        <f t="shared" si="3"/>
        <v>128858.66731780508</v>
      </c>
      <c r="O37" s="72"/>
      <c r="P37" s="72"/>
      <c r="Q37" s="73"/>
      <c r="R37" s="73"/>
      <c r="S37" s="73"/>
      <c r="T37" s="77"/>
      <c r="U37" s="78"/>
    </row>
    <row r="199" spans="1:20" s="33" customFormat="1" ht="35.1" customHeight="1">
      <c r="D199" s="80"/>
      <c r="E199" s="80"/>
      <c r="F199" s="80"/>
      <c r="G199" s="80"/>
      <c r="H199" s="80"/>
      <c r="I199" s="80"/>
      <c r="J199" s="80"/>
      <c r="K199" s="80"/>
      <c r="L199" s="80"/>
      <c r="M199" s="80"/>
      <c r="N199" s="81"/>
      <c r="O199" s="32"/>
      <c r="P199" s="32"/>
      <c r="Q199" s="32"/>
      <c r="R199" s="32"/>
      <c r="T199" s="34"/>
    </row>
    <row r="200" spans="1:20" s="47" customFormat="1" ht="35.1" hidden="1" customHeight="1">
      <c r="A200" s="47">
        <f>'[16]عملیات-فعالیت ها '!L59</f>
        <v>75340.994000000006</v>
      </c>
      <c r="B200" s="47">
        <f>'[16]عملیات-فعالیت ها '!M59</f>
        <v>0</v>
      </c>
      <c r="D200" s="48"/>
      <c r="E200" s="48"/>
      <c r="F200" s="48"/>
      <c r="G200" s="48"/>
      <c r="H200" s="48"/>
      <c r="I200" s="48"/>
      <c r="J200" s="48"/>
      <c r="K200" s="48"/>
      <c r="L200" s="48"/>
      <c r="M200" s="48"/>
      <c r="N200" s="49"/>
      <c r="O200" s="50"/>
      <c r="P200" s="50"/>
      <c r="Q200" s="50"/>
      <c r="R200" s="50"/>
      <c r="T200" s="51"/>
    </row>
    <row r="201" spans="1:20" s="33" customFormat="1" ht="35.1" customHeight="1">
      <c r="D201" s="80"/>
      <c r="E201" s="80"/>
      <c r="F201" s="80"/>
      <c r="G201" s="80"/>
      <c r="H201" s="80"/>
      <c r="I201" s="80"/>
      <c r="J201" s="80"/>
      <c r="K201" s="80"/>
      <c r="L201" s="80"/>
      <c r="M201" s="80"/>
      <c r="N201" s="81"/>
      <c r="O201" s="32"/>
      <c r="P201" s="32"/>
      <c r="Q201" s="32"/>
      <c r="R201" s="32"/>
      <c r="T201" s="34"/>
    </row>
  </sheetData>
  <mergeCells count="17">
    <mergeCell ref="A37:B37"/>
    <mergeCell ref="I3:I4"/>
    <mergeCell ref="J3:J4"/>
    <mergeCell ref="K3:K4"/>
    <mergeCell ref="L3:L4"/>
    <mergeCell ref="M3:M4"/>
    <mergeCell ref="N3:N4"/>
    <mergeCell ref="A1:N1"/>
    <mergeCell ref="A2:A4"/>
    <mergeCell ref="B2:B4"/>
    <mergeCell ref="C2:C4"/>
    <mergeCell ref="D2:D4"/>
    <mergeCell ref="E2:I2"/>
    <mergeCell ref="J2:N2"/>
    <mergeCell ref="E3:F3"/>
    <mergeCell ref="G3:G4"/>
    <mergeCell ref="H3:H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2"/>
  <sheetViews>
    <sheetView showGridLines="0" rightToLeft="1" workbookViewId="0">
      <pane xSplit="11" topLeftCell="L1" activePane="topRight" state="frozen"/>
      <selection pane="topRight" activeCell="M2" sqref="M2"/>
    </sheetView>
  </sheetViews>
  <sheetFormatPr defaultRowHeight="15"/>
  <cols>
    <col min="1" max="1" width="8.1640625" style="4" customWidth="1"/>
    <col min="2" max="2" width="59.33203125" style="4" customWidth="1"/>
    <col min="3" max="4" width="11.6640625" style="4" customWidth="1"/>
    <col min="5" max="5" width="11.6640625" style="13" customWidth="1"/>
    <col min="6" max="8" width="11.6640625" style="4" customWidth="1"/>
    <col min="9" max="11" width="12" style="4" customWidth="1"/>
    <col min="12" max="16384" width="9.33203125" style="4"/>
  </cols>
  <sheetData>
    <row r="1" spans="1:19" ht="50.25" customHeight="1">
      <c r="A1" s="352" t="s">
        <v>1348</v>
      </c>
      <c r="B1" s="352"/>
      <c r="C1" s="352"/>
      <c r="D1" s="352"/>
      <c r="E1" s="352"/>
      <c r="F1" s="352"/>
      <c r="G1" s="352"/>
      <c r="H1" s="352"/>
      <c r="I1" s="352"/>
      <c r="J1" s="352"/>
      <c r="K1" s="352"/>
      <c r="L1" s="1"/>
      <c r="M1" s="1"/>
      <c r="N1" s="1"/>
      <c r="O1" s="1"/>
      <c r="P1" s="1"/>
      <c r="Q1" s="1"/>
      <c r="R1" s="2"/>
      <c r="S1" s="3"/>
    </row>
    <row r="2" spans="1:19" s="7" customFormat="1" ht="39.75" customHeight="1">
      <c r="A2" s="353" t="s">
        <v>0</v>
      </c>
      <c r="B2" s="353" t="s">
        <v>1</v>
      </c>
      <c r="C2" s="353" t="s">
        <v>2</v>
      </c>
      <c r="D2" s="353" t="s">
        <v>3</v>
      </c>
      <c r="E2" s="353" t="s">
        <v>4</v>
      </c>
      <c r="F2" s="353"/>
      <c r="G2" s="353"/>
      <c r="H2" s="353"/>
      <c r="I2" s="353"/>
      <c r="J2" s="353"/>
      <c r="K2" s="353"/>
      <c r="L2" s="5"/>
      <c r="M2" s="5"/>
      <c r="N2" s="5"/>
      <c r="O2" s="5"/>
      <c r="P2" s="5"/>
      <c r="Q2" s="5"/>
      <c r="R2" s="6"/>
      <c r="S2" s="6"/>
    </row>
    <row r="3" spans="1:19" s="7" customFormat="1" ht="39.75" customHeight="1">
      <c r="A3" s="353"/>
      <c r="B3" s="353"/>
      <c r="C3" s="353"/>
      <c r="D3" s="353"/>
      <c r="E3" s="177">
        <v>1395</v>
      </c>
      <c r="F3" s="177">
        <v>1396</v>
      </c>
      <c r="G3" s="177">
        <v>1397</v>
      </c>
      <c r="H3" s="177">
        <v>1398</v>
      </c>
      <c r="I3" s="177">
        <v>1399</v>
      </c>
      <c r="J3" s="336">
        <v>1400</v>
      </c>
      <c r="K3" s="177">
        <v>1401</v>
      </c>
      <c r="L3" s="5"/>
      <c r="M3" s="5"/>
      <c r="N3" s="5"/>
      <c r="O3" s="5"/>
      <c r="P3" s="5"/>
      <c r="Q3" s="5"/>
      <c r="R3" s="6"/>
      <c r="S3" s="6"/>
    </row>
    <row r="4" spans="1:19" s="12" customFormat="1" ht="69.95" customHeight="1">
      <c r="A4" s="177">
        <v>1</v>
      </c>
      <c r="B4" s="178" t="s">
        <v>5</v>
      </c>
      <c r="C4" s="179" t="s">
        <v>6</v>
      </c>
      <c r="D4" s="180">
        <v>69.096341940000002</v>
      </c>
      <c r="E4" s="180">
        <v>72.834657291870002</v>
      </c>
      <c r="F4" s="180">
        <v>74.459791711286599</v>
      </c>
      <c r="G4" s="180">
        <v>75.900443013432508</v>
      </c>
      <c r="H4" s="180">
        <v>77.236737135718471</v>
      </c>
      <c r="I4" s="180">
        <v>78.493893507421774</v>
      </c>
      <c r="J4" s="180">
        <v>79.77151219021593</v>
      </c>
      <c r="K4" s="180">
        <v>81.069926242250759</v>
      </c>
      <c r="L4" s="8"/>
      <c r="M4" s="9"/>
      <c r="N4" s="9"/>
      <c r="O4" s="9"/>
      <c r="P4" s="9"/>
      <c r="Q4" s="9"/>
      <c r="R4" s="10"/>
      <c r="S4" s="11"/>
    </row>
    <row r="5" spans="1:19" s="12" customFormat="1" ht="69.95" customHeight="1">
      <c r="A5" s="177">
        <v>2</v>
      </c>
      <c r="B5" s="178" t="s">
        <v>7</v>
      </c>
      <c r="C5" s="179" t="s">
        <v>6</v>
      </c>
      <c r="D5" s="180">
        <v>30.653115202229337</v>
      </c>
      <c r="E5" s="180">
        <v>33.718426722452271</v>
      </c>
      <c r="F5" s="180">
        <v>35.404348058574882</v>
      </c>
      <c r="G5" s="180">
        <v>37.174565461503626</v>
      </c>
      <c r="H5" s="180">
        <v>39.033293734578805</v>
      </c>
      <c r="I5" s="180">
        <v>40.984958421307745</v>
      </c>
      <c r="J5" s="180">
        <v>43.034206342373132</v>
      </c>
      <c r="K5" s="180">
        <v>45.185916659491788</v>
      </c>
      <c r="L5" s="8"/>
      <c r="M5" s="9"/>
      <c r="N5" s="9"/>
      <c r="O5" s="9"/>
      <c r="P5" s="9"/>
      <c r="Q5" s="9"/>
      <c r="R5" s="10"/>
      <c r="S5" s="11"/>
    </row>
    <row r="6" spans="1:19" s="12" customFormat="1" ht="69.95" customHeight="1">
      <c r="A6" s="177">
        <v>3</v>
      </c>
      <c r="B6" s="178" t="s">
        <v>8</v>
      </c>
      <c r="C6" s="179" t="s">
        <v>6</v>
      </c>
      <c r="D6" s="180">
        <v>64.212332308454961</v>
      </c>
      <c r="E6" s="180">
        <v>70.633565539300463</v>
      </c>
      <c r="F6" s="180">
        <v>74.165243816265487</v>
      </c>
      <c r="G6" s="180">
        <v>77.87350600707876</v>
      </c>
      <c r="H6" s="180">
        <v>81.767181307432693</v>
      </c>
      <c r="I6" s="180">
        <v>85.855540372804327</v>
      </c>
      <c r="J6" s="180">
        <v>90.14831739144455</v>
      </c>
      <c r="K6" s="180">
        <v>94.655733261016778</v>
      </c>
      <c r="L6" s="8"/>
      <c r="M6" s="9"/>
      <c r="N6" s="9"/>
      <c r="O6" s="9"/>
      <c r="P6" s="9"/>
      <c r="Q6" s="9"/>
      <c r="R6" s="10"/>
      <c r="S6" s="11"/>
    </row>
    <row r="7" spans="1:19" s="12" customFormat="1" ht="69.95" customHeight="1">
      <c r="A7" s="177">
        <v>4</v>
      </c>
      <c r="B7" s="178" t="s">
        <v>9</v>
      </c>
      <c r="C7" s="179" t="s">
        <v>6</v>
      </c>
      <c r="D7" s="180">
        <v>30.136556134315889</v>
      </c>
      <c r="E7" s="180">
        <v>33.150211747747477</v>
      </c>
      <c r="F7" s="180">
        <v>34.807722335134848</v>
      </c>
      <c r="G7" s="180">
        <v>36.548108451891594</v>
      </c>
      <c r="H7" s="180">
        <v>38.375513874486174</v>
      </c>
      <c r="I7" s="180">
        <v>40.29428956821048</v>
      </c>
      <c r="J7" s="180">
        <v>42.309004046621006</v>
      </c>
      <c r="K7" s="180">
        <v>44.42445424895206</v>
      </c>
      <c r="L7" s="8"/>
      <c r="M7" s="9"/>
      <c r="N7" s="9"/>
      <c r="O7" s="9"/>
      <c r="P7" s="9"/>
      <c r="Q7" s="9"/>
      <c r="R7" s="10"/>
      <c r="S7" s="11"/>
    </row>
    <row r="8" spans="1:19" ht="89.25" customHeight="1">
      <c r="A8" s="354"/>
      <c r="B8" s="354"/>
      <c r="C8" s="354"/>
      <c r="D8" s="354"/>
      <c r="E8" s="354"/>
      <c r="F8" s="354"/>
      <c r="G8" s="354"/>
      <c r="H8" s="354"/>
      <c r="I8" s="354"/>
      <c r="J8" s="354"/>
      <c r="K8" s="354"/>
    </row>
    <row r="9" spans="1:19" ht="39" customHeight="1">
      <c r="C9" s="175"/>
      <c r="D9" s="175"/>
      <c r="E9" s="176"/>
      <c r="F9" s="175"/>
      <c r="G9" s="175"/>
      <c r="H9" s="175"/>
    </row>
    <row r="10" spans="1:19" ht="54.95" customHeight="1">
      <c r="F10" s="13"/>
      <c r="G10" s="13"/>
      <c r="H10" s="13"/>
      <c r="I10" s="13"/>
      <c r="J10" s="13"/>
      <c r="K10" s="13"/>
    </row>
    <row r="11" spans="1:19" ht="54.95" customHeight="1">
      <c r="F11" s="13"/>
      <c r="G11" s="13"/>
      <c r="H11" s="13"/>
      <c r="I11" s="13"/>
      <c r="J11" s="13"/>
      <c r="K11" s="13"/>
    </row>
    <row r="12" spans="1:19" ht="54.95" customHeight="1">
      <c r="F12" s="13"/>
      <c r="G12" s="13"/>
      <c r="H12" s="13"/>
      <c r="I12" s="13"/>
      <c r="J12" s="13"/>
      <c r="K12" s="13"/>
    </row>
    <row r="13" spans="1:19" ht="54.95" customHeight="1">
      <c r="F13" s="13"/>
      <c r="G13" s="13"/>
      <c r="H13" s="13"/>
      <c r="I13" s="13"/>
      <c r="J13" s="13"/>
      <c r="K13" s="13"/>
    </row>
    <row r="14" spans="1:19" ht="54.95" customHeight="1">
      <c r="F14" s="13"/>
      <c r="G14" s="13"/>
      <c r="H14" s="13"/>
      <c r="I14" s="13"/>
      <c r="J14" s="13"/>
      <c r="K14" s="13"/>
    </row>
    <row r="15" spans="1:19" ht="54.95" customHeight="1"/>
    <row r="16" spans="1:19" ht="54.95" customHeight="1"/>
    <row r="17" ht="54.95" customHeight="1"/>
    <row r="18" ht="54.95" customHeight="1"/>
    <row r="19" ht="54.95" customHeight="1"/>
    <row r="20" ht="54.95" customHeight="1"/>
    <row r="21" ht="54.95" customHeight="1"/>
    <row r="22" ht="54.95" customHeight="1"/>
    <row r="23" ht="54.95" customHeight="1"/>
    <row r="24" ht="54.95" customHeight="1"/>
    <row r="25" ht="54.95" customHeight="1"/>
    <row r="26" ht="54.95" customHeight="1"/>
    <row r="27" ht="54.95" customHeight="1"/>
    <row r="28" ht="54.95" customHeight="1"/>
    <row r="29" ht="54.95" customHeight="1"/>
    <row r="30" ht="54.95" customHeight="1"/>
    <row r="31" ht="54.95" customHeight="1"/>
    <row r="32" ht="54.95" customHeight="1"/>
    <row r="33" ht="54.95" customHeight="1"/>
    <row r="34" ht="54.95" customHeight="1"/>
    <row r="35" ht="54.95" customHeight="1"/>
    <row r="36" ht="54.95" customHeight="1"/>
    <row r="37" ht="54.95" customHeight="1"/>
    <row r="38" ht="54.95" customHeight="1"/>
    <row r="39" ht="54.95" customHeight="1"/>
    <row r="40" ht="54.95" customHeight="1"/>
    <row r="41" ht="54.95" customHeight="1"/>
    <row r="42" ht="54.95" customHeight="1"/>
    <row r="43" ht="54.95" customHeight="1"/>
    <row r="44" ht="54.95" customHeight="1"/>
    <row r="45" ht="54.95" customHeight="1"/>
    <row r="46" ht="54.95" customHeight="1"/>
    <row r="47" ht="54.95" customHeight="1"/>
    <row r="48" ht="54.95" customHeight="1"/>
    <row r="49" ht="54.95" customHeight="1"/>
    <row r="50" ht="54.95" customHeight="1"/>
    <row r="51" ht="54.95" customHeight="1"/>
    <row r="52" ht="54.95" customHeight="1"/>
    <row r="53" ht="54.95" customHeight="1"/>
    <row r="54" ht="54.95" customHeight="1"/>
    <row r="55" ht="54.95" customHeight="1"/>
    <row r="56" ht="54.95" customHeight="1"/>
    <row r="57" ht="54.95" customHeight="1"/>
    <row r="58" ht="54.95" customHeight="1"/>
    <row r="59" ht="54.95" customHeight="1"/>
    <row r="60" ht="54.95" customHeight="1"/>
    <row r="61" ht="54.95" customHeight="1"/>
    <row r="62" ht="54.95" customHeight="1"/>
    <row r="63" ht="54.95" customHeight="1"/>
    <row r="64" ht="54.95" customHeight="1"/>
    <row r="65" ht="54.95" customHeight="1"/>
    <row r="66" ht="54.95" customHeight="1"/>
    <row r="67" ht="54.95" customHeight="1"/>
    <row r="68" ht="54.95" customHeight="1"/>
    <row r="69" ht="54.95" customHeight="1"/>
    <row r="70" ht="54.95" customHeight="1"/>
    <row r="71" ht="54.95" customHeight="1"/>
    <row r="72" ht="54.95" customHeight="1"/>
  </sheetData>
  <mergeCells count="7">
    <mergeCell ref="A1:K1"/>
    <mergeCell ref="E2:K2"/>
    <mergeCell ref="A8:K8"/>
    <mergeCell ref="A2:A3"/>
    <mergeCell ref="B2:B3"/>
    <mergeCell ref="C2:C3"/>
    <mergeCell ref="D2:D3"/>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288"/>
  <sheetViews>
    <sheetView showGridLines="0" rightToLeft="1" workbookViewId="0">
      <pane xSplit="25" topLeftCell="Z1" activePane="topRight" state="frozen"/>
      <selection pane="topRight" sqref="A1:M1"/>
    </sheetView>
  </sheetViews>
  <sheetFormatPr defaultColWidth="28.6640625" defaultRowHeight="5.65" customHeight="1"/>
  <cols>
    <col min="1" max="1" width="9.33203125" style="3" customWidth="1"/>
    <col min="2" max="2" width="55.5" style="3" customWidth="1"/>
    <col min="3" max="3" width="9" style="125" customWidth="1"/>
    <col min="4" max="9" width="6.6640625" style="126" customWidth="1"/>
    <col min="10" max="12" width="12.5" style="3" customWidth="1"/>
    <col min="13" max="13" width="12.33203125" style="2" customWidth="1"/>
    <col min="14" max="18" width="10.1640625" style="29" hidden="1" customWidth="1"/>
    <col min="19" max="23" width="10.33203125" style="29" hidden="1" customWidth="1"/>
    <col min="24" max="25" width="10.1640625" style="30" hidden="1" customWidth="1"/>
    <col min="26" max="26" width="10.33203125" style="121" customWidth="1"/>
    <col min="27" max="27" width="28.6640625" style="2"/>
    <col min="28" max="16384" width="28.6640625" style="3"/>
  </cols>
  <sheetData>
    <row r="1" spans="1:26" ht="60.75" customHeight="1">
      <c r="A1" s="413" t="s">
        <v>195</v>
      </c>
      <c r="B1" s="413"/>
      <c r="C1" s="413"/>
      <c r="D1" s="413"/>
      <c r="E1" s="413"/>
      <c r="F1" s="413"/>
      <c r="G1" s="413"/>
      <c r="H1" s="413"/>
      <c r="I1" s="413"/>
      <c r="J1" s="413"/>
      <c r="K1" s="413"/>
      <c r="L1" s="413"/>
      <c r="M1" s="413"/>
    </row>
    <row r="2" spans="1:26" ht="33.75" customHeight="1">
      <c r="A2" s="231">
        <f>$M$60</f>
        <v>2</v>
      </c>
      <c r="B2" s="415" t="s">
        <v>134</v>
      </c>
      <c r="C2" s="431" t="s">
        <v>135</v>
      </c>
      <c r="D2" s="432" t="s">
        <v>136</v>
      </c>
      <c r="E2" s="432"/>
      <c r="F2" s="432"/>
      <c r="G2" s="432"/>
      <c r="H2" s="432" t="s">
        <v>137</v>
      </c>
      <c r="I2" s="432" t="s">
        <v>138</v>
      </c>
      <c r="J2" s="433" t="s">
        <v>139</v>
      </c>
      <c r="K2" s="433" t="s">
        <v>140</v>
      </c>
      <c r="L2" s="433" t="s">
        <v>141</v>
      </c>
      <c r="M2" s="434" t="s">
        <v>142</v>
      </c>
    </row>
    <row r="3" spans="1:26" ht="31.5" customHeight="1">
      <c r="A3" s="230" t="s">
        <v>0</v>
      </c>
      <c r="B3" s="430"/>
      <c r="C3" s="383"/>
      <c r="D3" s="208" t="s">
        <v>143</v>
      </c>
      <c r="E3" s="208" t="s">
        <v>144</v>
      </c>
      <c r="F3" s="208" t="s">
        <v>145</v>
      </c>
      <c r="G3" s="208" t="s">
        <v>146</v>
      </c>
      <c r="H3" s="384"/>
      <c r="I3" s="384"/>
      <c r="J3" s="385"/>
      <c r="K3" s="385"/>
      <c r="L3" s="385"/>
      <c r="M3" s="386"/>
      <c r="N3" s="29" t="s">
        <v>147</v>
      </c>
      <c r="O3" s="29" t="s">
        <v>148</v>
      </c>
      <c r="P3" s="29" t="s">
        <v>149</v>
      </c>
      <c r="Q3" s="29" t="s">
        <v>150</v>
      </c>
      <c r="R3" s="29" t="s">
        <v>147</v>
      </c>
      <c r="S3" s="29" t="s">
        <v>148</v>
      </c>
      <c r="T3" s="29" t="s">
        <v>149</v>
      </c>
      <c r="U3" s="29" t="s">
        <v>150</v>
      </c>
      <c r="V3" s="29" t="s">
        <v>151</v>
      </c>
      <c r="W3" s="29" t="s">
        <v>152</v>
      </c>
      <c r="X3" s="30" t="s">
        <v>153</v>
      </c>
      <c r="Y3" s="30" t="s">
        <v>154</v>
      </c>
    </row>
    <row r="4" spans="1:26" ht="54.95" customHeight="1">
      <c r="A4" s="209">
        <v>1</v>
      </c>
      <c r="B4" s="232" t="s">
        <v>196</v>
      </c>
      <c r="C4" s="211">
        <v>2.5</v>
      </c>
      <c r="D4" s="212">
        <v>0</v>
      </c>
      <c r="E4" s="212">
        <v>1</v>
      </c>
      <c r="F4" s="212">
        <v>0</v>
      </c>
      <c r="G4" s="212">
        <v>0</v>
      </c>
      <c r="H4" s="212">
        <v>5</v>
      </c>
      <c r="I4" s="212">
        <v>4</v>
      </c>
      <c r="J4" s="213">
        <v>0</v>
      </c>
      <c r="K4" s="213">
        <v>0</v>
      </c>
      <c r="L4" s="244">
        <f t="shared" ref="L4:L58" si="0">(((J4*C4)/$A$2)*D4)+(((J4*C4)/$A$2)*E4)+(((J4*C4)/$A$2)*F4)+(((J4*C4)/$A$2)*G4)</f>
        <v>0</v>
      </c>
      <c r="M4" s="245">
        <f t="shared" ref="M4:M58" si="1">(((K4*C4)/$A$2)*D4)+(((K4*C4)/$A$2)*E4)+(((K4*C4)/$A$2)*F4)+(((K4*C4)/$A$2)*G4)</f>
        <v>0</v>
      </c>
      <c r="N4" s="122">
        <f t="shared" ref="N4:N58" si="2">J4*D4*C4/$A$2</f>
        <v>0</v>
      </c>
      <c r="O4" s="122">
        <f t="shared" ref="O4:O58" si="3">J4*E4*C4/$A$2</f>
        <v>0</v>
      </c>
      <c r="P4" s="122">
        <f>J4*F4*C4/$A$2</f>
        <v>0</v>
      </c>
      <c r="Q4" s="122">
        <f t="shared" ref="Q4:Q58" si="4">J4*G4*C4/$A$2</f>
        <v>0</v>
      </c>
      <c r="R4" s="122">
        <f t="shared" ref="R4:R58" si="5">K4*D4*C4/$A$2</f>
        <v>0</v>
      </c>
      <c r="S4" s="122">
        <f t="shared" ref="S4:S58" si="6">K4*E4*C4/$A$2</f>
        <v>0</v>
      </c>
      <c r="T4" s="122">
        <f t="shared" ref="T4:T58" si="7">K4*F4*C4/$A$2</f>
        <v>0</v>
      </c>
      <c r="U4" s="122">
        <f t="shared" ref="U4:U58" si="8">K4*G4*C4/$A$2</f>
        <v>0</v>
      </c>
      <c r="V4" s="30">
        <f t="shared" ref="V4:V58" si="9">((L4/15)*((I4+H4)-2))</f>
        <v>0</v>
      </c>
      <c r="W4" s="30">
        <f t="shared" ref="W4:W58" si="10">((M4/15)*((I4+H4)-2))</f>
        <v>0</v>
      </c>
      <c r="X4" s="30">
        <f>L4*(V4/(V4-0.0000001))</f>
        <v>0</v>
      </c>
      <c r="Y4" s="30">
        <f>M4*(W4/(W4-0.0000001))</f>
        <v>0</v>
      </c>
      <c r="Z4" s="2"/>
    </row>
    <row r="5" spans="1:26" ht="54.95" customHeight="1">
      <c r="A5" s="209">
        <v>2</v>
      </c>
      <c r="B5" s="232" t="s">
        <v>197</v>
      </c>
      <c r="C5" s="211">
        <v>2.5</v>
      </c>
      <c r="D5" s="212">
        <v>0</v>
      </c>
      <c r="E5" s="212">
        <v>1</v>
      </c>
      <c r="F5" s="212">
        <v>0</v>
      </c>
      <c r="G5" s="212">
        <v>0</v>
      </c>
      <c r="H5" s="212">
        <v>5</v>
      </c>
      <c r="I5" s="212">
        <v>4</v>
      </c>
      <c r="J5" s="213">
        <v>0</v>
      </c>
      <c r="K5" s="213">
        <v>0</v>
      </c>
      <c r="L5" s="244">
        <f t="shared" si="0"/>
        <v>0</v>
      </c>
      <c r="M5" s="245">
        <f t="shared" si="1"/>
        <v>0</v>
      </c>
      <c r="N5" s="122">
        <f t="shared" si="2"/>
        <v>0</v>
      </c>
      <c r="O5" s="122">
        <f t="shared" si="3"/>
        <v>0</v>
      </c>
      <c r="P5" s="122">
        <f t="shared" ref="P5:P58" si="11">J5*F5*C5/$A$2</f>
        <v>0</v>
      </c>
      <c r="Q5" s="122">
        <f t="shared" si="4"/>
        <v>0</v>
      </c>
      <c r="R5" s="122">
        <f t="shared" si="5"/>
        <v>0</v>
      </c>
      <c r="S5" s="122">
        <f t="shared" si="6"/>
        <v>0</v>
      </c>
      <c r="T5" s="122">
        <f t="shared" si="7"/>
        <v>0</v>
      </c>
      <c r="U5" s="122">
        <f t="shared" si="8"/>
        <v>0</v>
      </c>
      <c r="V5" s="30">
        <f t="shared" si="9"/>
        <v>0</v>
      </c>
      <c r="W5" s="30">
        <f t="shared" si="10"/>
        <v>0</v>
      </c>
      <c r="X5" s="30">
        <f t="shared" ref="X5:Y58" si="12">L5*(V5/(V5-0.0000001))</f>
        <v>0</v>
      </c>
      <c r="Y5" s="30">
        <f t="shared" si="12"/>
        <v>0</v>
      </c>
      <c r="Z5" s="2"/>
    </row>
    <row r="6" spans="1:26" ht="54.95" customHeight="1">
      <c r="A6" s="209">
        <v>3</v>
      </c>
      <c r="B6" s="232" t="s">
        <v>198</v>
      </c>
      <c r="C6" s="211">
        <v>2.5</v>
      </c>
      <c r="D6" s="212">
        <v>0</v>
      </c>
      <c r="E6" s="212">
        <v>1</v>
      </c>
      <c r="F6" s="212">
        <v>0</v>
      </c>
      <c r="G6" s="212">
        <v>0</v>
      </c>
      <c r="H6" s="212">
        <v>5</v>
      </c>
      <c r="I6" s="212">
        <v>4</v>
      </c>
      <c r="J6" s="213">
        <v>0</v>
      </c>
      <c r="K6" s="213">
        <v>0</v>
      </c>
      <c r="L6" s="244">
        <f t="shared" si="0"/>
        <v>0</v>
      </c>
      <c r="M6" s="245">
        <f t="shared" si="1"/>
        <v>0</v>
      </c>
      <c r="N6" s="122">
        <f t="shared" si="2"/>
        <v>0</v>
      </c>
      <c r="O6" s="122">
        <f t="shared" si="3"/>
        <v>0</v>
      </c>
      <c r="P6" s="122">
        <f t="shared" si="11"/>
        <v>0</v>
      </c>
      <c r="Q6" s="122">
        <f t="shared" si="4"/>
        <v>0</v>
      </c>
      <c r="R6" s="122">
        <f t="shared" si="5"/>
        <v>0</v>
      </c>
      <c r="S6" s="122">
        <f t="shared" si="6"/>
        <v>0</v>
      </c>
      <c r="T6" s="122">
        <f t="shared" si="7"/>
        <v>0</v>
      </c>
      <c r="U6" s="122">
        <f t="shared" si="8"/>
        <v>0</v>
      </c>
      <c r="V6" s="30">
        <f t="shared" si="9"/>
        <v>0</v>
      </c>
      <c r="W6" s="30">
        <f t="shared" si="10"/>
        <v>0</v>
      </c>
      <c r="X6" s="30">
        <f t="shared" si="12"/>
        <v>0</v>
      </c>
      <c r="Y6" s="30">
        <f t="shared" si="12"/>
        <v>0</v>
      </c>
      <c r="Z6" s="2"/>
    </row>
    <row r="7" spans="1:26" ht="54.95" customHeight="1">
      <c r="A7" s="209">
        <v>4</v>
      </c>
      <c r="B7" s="232" t="s">
        <v>199</v>
      </c>
      <c r="C7" s="211">
        <v>1</v>
      </c>
      <c r="D7" s="212">
        <v>0</v>
      </c>
      <c r="E7" s="212">
        <v>1</v>
      </c>
      <c r="F7" s="212">
        <v>0</v>
      </c>
      <c r="G7" s="212">
        <v>0</v>
      </c>
      <c r="H7" s="212">
        <v>5</v>
      </c>
      <c r="I7" s="212">
        <v>4</v>
      </c>
      <c r="J7" s="213">
        <v>0</v>
      </c>
      <c r="K7" s="213">
        <v>0</v>
      </c>
      <c r="L7" s="244">
        <f t="shared" si="0"/>
        <v>0</v>
      </c>
      <c r="M7" s="245">
        <f t="shared" si="1"/>
        <v>0</v>
      </c>
      <c r="N7" s="122">
        <f t="shared" si="2"/>
        <v>0</v>
      </c>
      <c r="O7" s="122">
        <f t="shared" si="3"/>
        <v>0</v>
      </c>
      <c r="P7" s="122">
        <f t="shared" si="11"/>
        <v>0</v>
      </c>
      <c r="Q7" s="122">
        <f t="shared" si="4"/>
        <v>0</v>
      </c>
      <c r="R7" s="122">
        <f t="shared" si="5"/>
        <v>0</v>
      </c>
      <c r="S7" s="122">
        <f t="shared" si="6"/>
        <v>0</v>
      </c>
      <c r="T7" s="122">
        <f t="shared" si="7"/>
        <v>0</v>
      </c>
      <c r="U7" s="122">
        <f t="shared" si="8"/>
        <v>0</v>
      </c>
      <c r="V7" s="30">
        <f t="shared" si="9"/>
        <v>0</v>
      </c>
      <c r="W7" s="30">
        <f t="shared" si="10"/>
        <v>0</v>
      </c>
      <c r="X7" s="30">
        <f t="shared" si="12"/>
        <v>0</v>
      </c>
      <c r="Y7" s="30">
        <f t="shared" si="12"/>
        <v>0</v>
      </c>
      <c r="Z7" s="2"/>
    </row>
    <row r="8" spans="1:26" ht="54.95" customHeight="1">
      <c r="A8" s="209">
        <v>5</v>
      </c>
      <c r="B8" s="232" t="s">
        <v>200</v>
      </c>
      <c r="C8" s="211">
        <v>1.5</v>
      </c>
      <c r="D8" s="212">
        <v>0</v>
      </c>
      <c r="E8" s="212">
        <v>1</v>
      </c>
      <c r="F8" s="212">
        <v>0</v>
      </c>
      <c r="G8" s="212">
        <v>0</v>
      </c>
      <c r="H8" s="212">
        <v>3</v>
      </c>
      <c r="I8" s="212">
        <v>4</v>
      </c>
      <c r="J8" s="213">
        <v>0</v>
      </c>
      <c r="K8" s="213">
        <v>0</v>
      </c>
      <c r="L8" s="244">
        <f t="shared" si="0"/>
        <v>0</v>
      </c>
      <c r="M8" s="245">
        <f t="shared" si="1"/>
        <v>0</v>
      </c>
      <c r="N8" s="122">
        <f t="shared" si="2"/>
        <v>0</v>
      </c>
      <c r="O8" s="122">
        <f t="shared" si="3"/>
        <v>0</v>
      </c>
      <c r="P8" s="122">
        <f t="shared" si="11"/>
        <v>0</v>
      </c>
      <c r="Q8" s="122">
        <f t="shared" si="4"/>
        <v>0</v>
      </c>
      <c r="R8" s="122">
        <f t="shared" si="5"/>
        <v>0</v>
      </c>
      <c r="S8" s="122">
        <f t="shared" si="6"/>
        <v>0</v>
      </c>
      <c r="T8" s="122">
        <f t="shared" si="7"/>
        <v>0</v>
      </c>
      <c r="U8" s="122">
        <f t="shared" si="8"/>
        <v>0</v>
      </c>
      <c r="V8" s="30">
        <f t="shared" si="9"/>
        <v>0</v>
      </c>
      <c r="W8" s="30">
        <f t="shared" si="10"/>
        <v>0</v>
      </c>
      <c r="X8" s="30">
        <f t="shared" si="12"/>
        <v>0</v>
      </c>
      <c r="Y8" s="30">
        <f t="shared" si="12"/>
        <v>0</v>
      </c>
      <c r="Z8" s="2"/>
    </row>
    <row r="9" spans="1:26" ht="54.95" customHeight="1">
      <c r="A9" s="209">
        <v>6</v>
      </c>
      <c r="B9" s="232" t="s">
        <v>1351</v>
      </c>
      <c r="C9" s="211">
        <v>1.5</v>
      </c>
      <c r="D9" s="212">
        <v>0</v>
      </c>
      <c r="E9" s="212">
        <v>1</v>
      </c>
      <c r="F9" s="212">
        <v>0</v>
      </c>
      <c r="G9" s="212">
        <v>0</v>
      </c>
      <c r="H9" s="212">
        <v>3</v>
      </c>
      <c r="I9" s="212">
        <v>4</v>
      </c>
      <c r="J9" s="213">
        <v>0</v>
      </c>
      <c r="K9" s="213">
        <v>0</v>
      </c>
      <c r="L9" s="244">
        <f t="shared" si="0"/>
        <v>0</v>
      </c>
      <c r="M9" s="245">
        <f t="shared" si="1"/>
        <v>0</v>
      </c>
      <c r="N9" s="122">
        <f t="shared" si="2"/>
        <v>0</v>
      </c>
      <c r="O9" s="122">
        <f t="shared" si="3"/>
        <v>0</v>
      </c>
      <c r="P9" s="122">
        <f t="shared" si="11"/>
        <v>0</v>
      </c>
      <c r="Q9" s="122">
        <f t="shared" si="4"/>
        <v>0</v>
      </c>
      <c r="R9" s="122">
        <f t="shared" si="5"/>
        <v>0</v>
      </c>
      <c r="S9" s="122">
        <f t="shared" si="6"/>
        <v>0</v>
      </c>
      <c r="T9" s="122">
        <f t="shared" si="7"/>
        <v>0</v>
      </c>
      <c r="U9" s="122">
        <f t="shared" si="8"/>
        <v>0</v>
      </c>
      <c r="V9" s="30">
        <f t="shared" si="9"/>
        <v>0</v>
      </c>
      <c r="W9" s="30">
        <f t="shared" si="10"/>
        <v>0</v>
      </c>
      <c r="X9" s="30">
        <f t="shared" si="12"/>
        <v>0</v>
      </c>
      <c r="Y9" s="30">
        <f t="shared" si="12"/>
        <v>0</v>
      </c>
      <c r="Z9" s="2"/>
    </row>
    <row r="10" spans="1:26" ht="54.95" customHeight="1">
      <c r="A10" s="209">
        <v>7</v>
      </c>
      <c r="B10" s="232" t="s">
        <v>1350</v>
      </c>
      <c r="C10" s="211">
        <v>0.6</v>
      </c>
      <c r="D10" s="212">
        <v>0</v>
      </c>
      <c r="E10" s="212">
        <v>1</v>
      </c>
      <c r="F10" s="212">
        <v>0</v>
      </c>
      <c r="G10" s="212">
        <v>0</v>
      </c>
      <c r="H10" s="212">
        <v>3</v>
      </c>
      <c r="I10" s="212">
        <v>4</v>
      </c>
      <c r="J10" s="213">
        <v>0</v>
      </c>
      <c r="K10" s="213">
        <v>0</v>
      </c>
      <c r="L10" s="244">
        <f t="shared" si="0"/>
        <v>0</v>
      </c>
      <c r="M10" s="245">
        <f t="shared" si="1"/>
        <v>0</v>
      </c>
      <c r="N10" s="122">
        <f t="shared" si="2"/>
        <v>0</v>
      </c>
      <c r="O10" s="122">
        <f t="shared" si="3"/>
        <v>0</v>
      </c>
      <c r="P10" s="122">
        <f t="shared" si="11"/>
        <v>0</v>
      </c>
      <c r="Q10" s="122">
        <f t="shared" si="4"/>
        <v>0</v>
      </c>
      <c r="R10" s="122">
        <f t="shared" si="5"/>
        <v>0</v>
      </c>
      <c r="S10" s="122">
        <f t="shared" si="6"/>
        <v>0</v>
      </c>
      <c r="T10" s="122">
        <f t="shared" si="7"/>
        <v>0</v>
      </c>
      <c r="U10" s="122">
        <f t="shared" si="8"/>
        <v>0</v>
      </c>
      <c r="V10" s="30">
        <f t="shared" si="9"/>
        <v>0</v>
      </c>
      <c r="W10" s="30">
        <f t="shared" si="10"/>
        <v>0</v>
      </c>
      <c r="X10" s="30">
        <f t="shared" si="12"/>
        <v>0</v>
      </c>
      <c r="Y10" s="30">
        <f t="shared" si="12"/>
        <v>0</v>
      </c>
      <c r="Z10" s="2"/>
    </row>
    <row r="11" spans="1:26" ht="54.95" customHeight="1">
      <c r="A11" s="209">
        <v>8</v>
      </c>
      <c r="B11" s="232" t="s">
        <v>201</v>
      </c>
      <c r="C11" s="211">
        <v>2.5</v>
      </c>
      <c r="D11" s="212">
        <v>0</v>
      </c>
      <c r="E11" s="212">
        <v>1</v>
      </c>
      <c r="F11" s="212">
        <v>0</v>
      </c>
      <c r="G11" s="212">
        <v>0</v>
      </c>
      <c r="H11" s="212">
        <v>5</v>
      </c>
      <c r="I11" s="212">
        <v>4</v>
      </c>
      <c r="J11" s="213">
        <v>0</v>
      </c>
      <c r="K11" s="213">
        <v>0</v>
      </c>
      <c r="L11" s="244">
        <f t="shared" si="0"/>
        <v>0</v>
      </c>
      <c r="M11" s="245">
        <f t="shared" si="1"/>
        <v>0</v>
      </c>
      <c r="N11" s="122">
        <f t="shared" si="2"/>
        <v>0</v>
      </c>
      <c r="O11" s="122">
        <f t="shared" si="3"/>
        <v>0</v>
      </c>
      <c r="P11" s="122">
        <f t="shared" si="11"/>
        <v>0</v>
      </c>
      <c r="Q11" s="122">
        <f t="shared" si="4"/>
        <v>0</v>
      </c>
      <c r="R11" s="122">
        <f t="shared" si="5"/>
        <v>0</v>
      </c>
      <c r="S11" s="122">
        <f t="shared" si="6"/>
        <v>0</v>
      </c>
      <c r="T11" s="122">
        <f t="shared" si="7"/>
        <v>0</v>
      </c>
      <c r="U11" s="122">
        <f t="shared" si="8"/>
        <v>0</v>
      </c>
      <c r="V11" s="30">
        <f t="shared" si="9"/>
        <v>0</v>
      </c>
      <c r="W11" s="30">
        <f t="shared" si="10"/>
        <v>0</v>
      </c>
      <c r="X11" s="30">
        <f t="shared" si="12"/>
        <v>0</v>
      </c>
      <c r="Y11" s="30">
        <f t="shared" si="12"/>
        <v>0</v>
      </c>
      <c r="Z11" s="2"/>
    </row>
    <row r="12" spans="1:26" ht="54.95" customHeight="1">
      <c r="A12" s="209">
        <v>9</v>
      </c>
      <c r="B12" s="232" t="s">
        <v>202</v>
      </c>
      <c r="C12" s="211">
        <v>2.5</v>
      </c>
      <c r="D12" s="212">
        <v>0</v>
      </c>
      <c r="E12" s="212">
        <v>1</v>
      </c>
      <c r="F12" s="212">
        <v>0</v>
      </c>
      <c r="G12" s="212">
        <v>0</v>
      </c>
      <c r="H12" s="212">
        <v>5</v>
      </c>
      <c r="I12" s="212">
        <v>4</v>
      </c>
      <c r="J12" s="213">
        <v>0</v>
      </c>
      <c r="K12" s="213">
        <v>0</v>
      </c>
      <c r="L12" s="244">
        <f t="shared" si="0"/>
        <v>0</v>
      </c>
      <c r="M12" s="245">
        <f t="shared" si="1"/>
        <v>0</v>
      </c>
      <c r="N12" s="122">
        <f t="shared" si="2"/>
        <v>0</v>
      </c>
      <c r="O12" s="122">
        <f t="shared" si="3"/>
        <v>0</v>
      </c>
      <c r="P12" s="122">
        <f t="shared" si="11"/>
        <v>0</v>
      </c>
      <c r="Q12" s="122">
        <f t="shared" si="4"/>
        <v>0</v>
      </c>
      <c r="R12" s="122">
        <f t="shared" si="5"/>
        <v>0</v>
      </c>
      <c r="S12" s="122">
        <f t="shared" si="6"/>
        <v>0</v>
      </c>
      <c r="T12" s="122">
        <f t="shared" si="7"/>
        <v>0</v>
      </c>
      <c r="U12" s="122">
        <f t="shared" si="8"/>
        <v>0</v>
      </c>
      <c r="V12" s="30">
        <f t="shared" si="9"/>
        <v>0</v>
      </c>
      <c r="W12" s="30">
        <f t="shared" si="10"/>
        <v>0</v>
      </c>
      <c r="X12" s="30">
        <f t="shared" si="12"/>
        <v>0</v>
      </c>
      <c r="Y12" s="30">
        <f t="shared" si="12"/>
        <v>0</v>
      </c>
      <c r="Z12" s="2"/>
    </row>
    <row r="13" spans="1:26" ht="54.95" customHeight="1">
      <c r="A13" s="209">
        <v>10</v>
      </c>
      <c r="B13" s="232" t="s">
        <v>203</v>
      </c>
      <c r="C13" s="211">
        <v>2.5</v>
      </c>
      <c r="D13" s="212">
        <v>0</v>
      </c>
      <c r="E13" s="212">
        <v>1</v>
      </c>
      <c r="F13" s="212">
        <v>0</v>
      </c>
      <c r="G13" s="212">
        <v>0</v>
      </c>
      <c r="H13" s="212">
        <v>5</v>
      </c>
      <c r="I13" s="212">
        <v>4</v>
      </c>
      <c r="J13" s="213">
        <v>0</v>
      </c>
      <c r="K13" s="213">
        <v>0</v>
      </c>
      <c r="L13" s="244">
        <f t="shared" si="0"/>
        <v>0</v>
      </c>
      <c r="M13" s="245">
        <f t="shared" si="1"/>
        <v>0</v>
      </c>
      <c r="N13" s="122">
        <f t="shared" si="2"/>
        <v>0</v>
      </c>
      <c r="O13" s="122">
        <f t="shared" si="3"/>
        <v>0</v>
      </c>
      <c r="P13" s="122">
        <f t="shared" si="11"/>
        <v>0</v>
      </c>
      <c r="Q13" s="122">
        <f t="shared" si="4"/>
        <v>0</v>
      </c>
      <c r="R13" s="122">
        <f t="shared" si="5"/>
        <v>0</v>
      </c>
      <c r="S13" s="122">
        <f t="shared" si="6"/>
        <v>0</v>
      </c>
      <c r="T13" s="122">
        <f t="shared" si="7"/>
        <v>0</v>
      </c>
      <c r="U13" s="122">
        <f t="shared" si="8"/>
        <v>0</v>
      </c>
      <c r="V13" s="30">
        <f t="shared" si="9"/>
        <v>0</v>
      </c>
      <c r="W13" s="30">
        <f t="shared" si="10"/>
        <v>0</v>
      </c>
      <c r="X13" s="30">
        <f t="shared" si="12"/>
        <v>0</v>
      </c>
      <c r="Y13" s="30">
        <f t="shared" si="12"/>
        <v>0</v>
      </c>
      <c r="Z13" s="2"/>
    </row>
    <row r="14" spans="1:26" ht="54.95" customHeight="1">
      <c r="A14" s="209">
        <v>11</v>
      </c>
      <c r="B14" s="232" t="s">
        <v>204</v>
      </c>
      <c r="C14" s="211">
        <v>2.5</v>
      </c>
      <c r="D14" s="212">
        <v>0</v>
      </c>
      <c r="E14" s="212">
        <v>1</v>
      </c>
      <c r="F14" s="212">
        <v>0</v>
      </c>
      <c r="G14" s="212">
        <v>0</v>
      </c>
      <c r="H14" s="212">
        <v>5</v>
      </c>
      <c r="I14" s="212">
        <v>4</v>
      </c>
      <c r="J14" s="213">
        <v>0</v>
      </c>
      <c r="K14" s="213">
        <v>0</v>
      </c>
      <c r="L14" s="244">
        <f t="shared" si="0"/>
        <v>0</v>
      </c>
      <c r="M14" s="245">
        <f t="shared" si="1"/>
        <v>0</v>
      </c>
      <c r="N14" s="122">
        <f t="shared" si="2"/>
        <v>0</v>
      </c>
      <c r="O14" s="122">
        <f t="shared" si="3"/>
        <v>0</v>
      </c>
      <c r="P14" s="122">
        <f t="shared" si="11"/>
        <v>0</v>
      </c>
      <c r="Q14" s="122">
        <f t="shared" si="4"/>
        <v>0</v>
      </c>
      <c r="R14" s="122">
        <f t="shared" si="5"/>
        <v>0</v>
      </c>
      <c r="S14" s="122">
        <f t="shared" si="6"/>
        <v>0</v>
      </c>
      <c r="T14" s="122">
        <f t="shared" si="7"/>
        <v>0</v>
      </c>
      <c r="U14" s="122">
        <f t="shared" si="8"/>
        <v>0</v>
      </c>
      <c r="V14" s="30">
        <f t="shared" si="9"/>
        <v>0</v>
      </c>
      <c r="W14" s="30">
        <f t="shared" si="10"/>
        <v>0</v>
      </c>
      <c r="X14" s="30">
        <f t="shared" si="12"/>
        <v>0</v>
      </c>
      <c r="Y14" s="30">
        <f t="shared" si="12"/>
        <v>0</v>
      </c>
      <c r="Z14" s="2"/>
    </row>
    <row r="15" spans="1:26" ht="54.95" customHeight="1">
      <c r="A15" s="209">
        <v>12</v>
      </c>
      <c r="B15" s="232" t="s">
        <v>205</v>
      </c>
      <c r="C15" s="211">
        <v>1</v>
      </c>
      <c r="D15" s="212">
        <v>0</v>
      </c>
      <c r="E15" s="212">
        <v>1</v>
      </c>
      <c r="F15" s="212">
        <v>0</v>
      </c>
      <c r="G15" s="212">
        <v>0</v>
      </c>
      <c r="H15" s="212">
        <v>5</v>
      </c>
      <c r="I15" s="212">
        <v>4</v>
      </c>
      <c r="J15" s="213">
        <v>0</v>
      </c>
      <c r="K15" s="213">
        <v>0</v>
      </c>
      <c r="L15" s="244">
        <f t="shared" si="0"/>
        <v>0</v>
      </c>
      <c r="M15" s="245">
        <f t="shared" si="1"/>
        <v>0</v>
      </c>
      <c r="N15" s="122">
        <f t="shared" si="2"/>
        <v>0</v>
      </c>
      <c r="O15" s="122">
        <f t="shared" si="3"/>
        <v>0</v>
      </c>
      <c r="P15" s="122">
        <f t="shared" si="11"/>
        <v>0</v>
      </c>
      <c r="Q15" s="122">
        <f t="shared" si="4"/>
        <v>0</v>
      </c>
      <c r="R15" s="122">
        <f t="shared" si="5"/>
        <v>0</v>
      </c>
      <c r="S15" s="122">
        <f t="shared" si="6"/>
        <v>0</v>
      </c>
      <c r="T15" s="122">
        <f t="shared" si="7"/>
        <v>0</v>
      </c>
      <c r="U15" s="122">
        <f t="shared" si="8"/>
        <v>0</v>
      </c>
      <c r="V15" s="30">
        <f t="shared" si="9"/>
        <v>0</v>
      </c>
      <c r="W15" s="30">
        <f t="shared" si="10"/>
        <v>0</v>
      </c>
      <c r="X15" s="30">
        <f t="shared" si="12"/>
        <v>0</v>
      </c>
      <c r="Y15" s="30">
        <f t="shared" si="12"/>
        <v>0</v>
      </c>
      <c r="Z15" s="2"/>
    </row>
    <row r="16" spans="1:26" ht="54.95" customHeight="1">
      <c r="A16" s="209">
        <v>13</v>
      </c>
      <c r="B16" s="232" t="s">
        <v>206</v>
      </c>
      <c r="C16" s="211">
        <v>2.5</v>
      </c>
      <c r="D16" s="212">
        <v>0</v>
      </c>
      <c r="E16" s="212">
        <v>1</v>
      </c>
      <c r="F16" s="212">
        <v>0</v>
      </c>
      <c r="G16" s="212">
        <v>1</v>
      </c>
      <c r="H16" s="212">
        <v>5</v>
      </c>
      <c r="I16" s="212">
        <v>4</v>
      </c>
      <c r="J16" s="213">
        <v>0</v>
      </c>
      <c r="K16" s="213">
        <v>0</v>
      </c>
      <c r="L16" s="244">
        <f t="shared" si="0"/>
        <v>0</v>
      </c>
      <c r="M16" s="245">
        <f t="shared" si="1"/>
        <v>0</v>
      </c>
      <c r="N16" s="122">
        <f t="shared" si="2"/>
        <v>0</v>
      </c>
      <c r="O16" s="122">
        <f t="shared" si="3"/>
        <v>0</v>
      </c>
      <c r="P16" s="122">
        <f t="shared" si="11"/>
        <v>0</v>
      </c>
      <c r="Q16" s="122">
        <f t="shared" si="4"/>
        <v>0</v>
      </c>
      <c r="R16" s="122">
        <f t="shared" si="5"/>
        <v>0</v>
      </c>
      <c r="S16" s="122">
        <f t="shared" si="6"/>
        <v>0</v>
      </c>
      <c r="T16" s="122">
        <f t="shared" si="7"/>
        <v>0</v>
      </c>
      <c r="U16" s="122">
        <f t="shared" si="8"/>
        <v>0</v>
      </c>
      <c r="V16" s="30">
        <f t="shared" si="9"/>
        <v>0</v>
      </c>
      <c r="W16" s="30">
        <f t="shared" si="10"/>
        <v>0</v>
      </c>
      <c r="X16" s="30">
        <f t="shared" si="12"/>
        <v>0</v>
      </c>
      <c r="Y16" s="30">
        <f t="shared" si="12"/>
        <v>0</v>
      </c>
      <c r="Z16" s="2"/>
    </row>
    <row r="17" spans="1:26" ht="54.95" customHeight="1">
      <c r="A17" s="209">
        <v>14</v>
      </c>
      <c r="B17" s="232" t="s">
        <v>207</v>
      </c>
      <c r="C17" s="211">
        <v>1</v>
      </c>
      <c r="D17" s="212">
        <v>0</v>
      </c>
      <c r="E17" s="212">
        <v>1</v>
      </c>
      <c r="F17" s="212">
        <v>0</v>
      </c>
      <c r="G17" s="212">
        <v>1</v>
      </c>
      <c r="H17" s="212">
        <v>5</v>
      </c>
      <c r="I17" s="212">
        <v>4</v>
      </c>
      <c r="J17" s="213">
        <v>0</v>
      </c>
      <c r="K17" s="213">
        <v>0</v>
      </c>
      <c r="L17" s="244">
        <f t="shared" si="0"/>
        <v>0</v>
      </c>
      <c r="M17" s="245">
        <f t="shared" si="1"/>
        <v>0</v>
      </c>
      <c r="N17" s="122">
        <f t="shared" si="2"/>
        <v>0</v>
      </c>
      <c r="O17" s="122">
        <f t="shared" si="3"/>
        <v>0</v>
      </c>
      <c r="P17" s="122">
        <f t="shared" si="11"/>
        <v>0</v>
      </c>
      <c r="Q17" s="122">
        <f t="shared" si="4"/>
        <v>0</v>
      </c>
      <c r="R17" s="122">
        <f t="shared" si="5"/>
        <v>0</v>
      </c>
      <c r="S17" s="122">
        <f t="shared" si="6"/>
        <v>0</v>
      </c>
      <c r="T17" s="122">
        <f t="shared" si="7"/>
        <v>0</v>
      </c>
      <c r="U17" s="122">
        <f t="shared" si="8"/>
        <v>0</v>
      </c>
      <c r="V17" s="30">
        <f t="shared" si="9"/>
        <v>0</v>
      </c>
      <c r="W17" s="30">
        <f t="shared" si="10"/>
        <v>0</v>
      </c>
      <c r="X17" s="30">
        <f t="shared" si="12"/>
        <v>0</v>
      </c>
      <c r="Y17" s="30">
        <f t="shared" si="12"/>
        <v>0</v>
      </c>
      <c r="Z17" s="2"/>
    </row>
    <row r="18" spans="1:26" ht="54.95" customHeight="1">
      <c r="A18" s="209">
        <v>15</v>
      </c>
      <c r="B18" s="232" t="s">
        <v>208</v>
      </c>
      <c r="C18" s="211">
        <v>1.5</v>
      </c>
      <c r="D18" s="212">
        <v>0</v>
      </c>
      <c r="E18" s="212">
        <v>1</v>
      </c>
      <c r="F18" s="212">
        <v>0</v>
      </c>
      <c r="G18" s="212">
        <v>0</v>
      </c>
      <c r="H18" s="212">
        <v>5</v>
      </c>
      <c r="I18" s="212">
        <v>4</v>
      </c>
      <c r="J18" s="213">
        <v>0</v>
      </c>
      <c r="K18" s="213">
        <v>0</v>
      </c>
      <c r="L18" s="244">
        <f t="shared" si="0"/>
        <v>0</v>
      </c>
      <c r="M18" s="245">
        <f t="shared" si="1"/>
        <v>0</v>
      </c>
      <c r="N18" s="122">
        <f t="shared" si="2"/>
        <v>0</v>
      </c>
      <c r="O18" s="122">
        <f t="shared" si="3"/>
        <v>0</v>
      </c>
      <c r="P18" s="122">
        <f t="shared" si="11"/>
        <v>0</v>
      </c>
      <c r="Q18" s="122">
        <f t="shared" si="4"/>
        <v>0</v>
      </c>
      <c r="R18" s="122">
        <f t="shared" si="5"/>
        <v>0</v>
      </c>
      <c r="S18" s="122">
        <f t="shared" si="6"/>
        <v>0</v>
      </c>
      <c r="T18" s="122">
        <f t="shared" si="7"/>
        <v>0</v>
      </c>
      <c r="U18" s="122">
        <f t="shared" si="8"/>
        <v>0</v>
      </c>
      <c r="V18" s="30">
        <f t="shared" si="9"/>
        <v>0</v>
      </c>
      <c r="W18" s="30">
        <f t="shared" si="10"/>
        <v>0</v>
      </c>
      <c r="X18" s="30">
        <f t="shared" si="12"/>
        <v>0</v>
      </c>
      <c r="Y18" s="30">
        <f t="shared" si="12"/>
        <v>0</v>
      </c>
      <c r="Z18" s="2"/>
    </row>
    <row r="19" spans="1:26" ht="54.95" customHeight="1">
      <c r="A19" s="209">
        <v>16</v>
      </c>
      <c r="B19" s="232" t="s">
        <v>209</v>
      </c>
      <c r="C19" s="211">
        <v>1.5</v>
      </c>
      <c r="D19" s="212">
        <v>0</v>
      </c>
      <c r="E19" s="212">
        <v>1</v>
      </c>
      <c r="F19" s="212">
        <v>0</v>
      </c>
      <c r="G19" s="212">
        <v>0</v>
      </c>
      <c r="H19" s="212">
        <v>5</v>
      </c>
      <c r="I19" s="212">
        <v>4</v>
      </c>
      <c r="J19" s="213">
        <v>0</v>
      </c>
      <c r="K19" s="213">
        <v>0</v>
      </c>
      <c r="L19" s="244">
        <f t="shared" si="0"/>
        <v>0</v>
      </c>
      <c r="M19" s="245">
        <f t="shared" si="1"/>
        <v>0</v>
      </c>
      <c r="N19" s="122">
        <f t="shared" si="2"/>
        <v>0</v>
      </c>
      <c r="O19" s="122">
        <f t="shared" si="3"/>
        <v>0</v>
      </c>
      <c r="P19" s="122">
        <f t="shared" si="11"/>
        <v>0</v>
      </c>
      <c r="Q19" s="122">
        <f t="shared" si="4"/>
        <v>0</v>
      </c>
      <c r="R19" s="122">
        <f t="shared" si="5"/>
        <v>0</v>
      </c>
      <c r="S19" s="122">
        <f t="shared" si="6"/>
        <v>0</v>
      </c>
      <c r="T19" s="122">
        <f t="shared" si="7"/>
        <v>0</v>
      </c>
      <c r="U19" s="122">
        <f t="shared" si="8"/>
        <v>0</v>
      </c>
      <c r="V19" s="30">
        <f t="shared" si="9"/>
        <v>0</v>
      </c>
      <c r="W19" s="30">
        <f t="shared" si="10"/>
        <v>0</v>
      </c>
      <c r="X19" s="30">
        <f t="shared" si="12"/>
        <v>0</v>
      </c>
      <c r="Y19" s="30">
        <f t="shared" si="12"/>
        <v>0</v>
      </c>
      <c r="Z19" s="2"/>
    </row>
    <row r="20" spans="1:26" ht="54.95" customHeight="1">
      <c r="A20" s="209">
        <v>17</v>
      </c>
      <c r="B20" s="232" t="s">
        <v>210</v>
      </c>
      <c r="C20" s="211">
        <v>2.5</v>
      </c>
      <c r="D20" s="212">
        <v>0</v>
      </c>
      <c r="E20" s="212">
        <v>1</v>
      </c>
      <c r="F20" s="212">
        <v>0</v>
      </c>
      <c r="G20" s="212">
        <v>0</v>
      </c>
      <c r="H20" s="212">
        <v>5</v>
      </c>
      <c r="I20" s="212">
        <v>4</v>
      </c>
      <c r="J20" s="213">
        <v>0</v>
      </c>
      <c r="K20" s="213">
        <v>0</v>
      </c>
      <c r="L20" s="244">
        <f t="shared" si="0"/>
        <v>0</v>
      </c>
      <c r="M20" s="245">
        <f t="shared" si="1"/>
        <v>0</v>
      </c>
      <c r="N20" s="122">
        <f t="shared" si="2"/>
        <v>0</v>
      </c>
      <c r="O20" s="122">
        <f t="shared" si="3"/>
        <v>0</v>
      </c>
      <c r="P20" s="122">
        <f t="shared" si="11"/>
        <v>0</v>
      </c>
      <c r="Q20" s="122">
        <f t="shared" si="4"/>
        <v>0</v>
      </c>
      <c r="R20" s="122">
        <f t="shared" si="5"/>
        <v>0</v>
      </c>
      <c r="S20" s="122">
        <f t="shared" si="6"/>
        <v>0</v>
      </c>
      <c r="T20" s="122">
        <f t="shared" si="7"/>
        <v>0</v>
      </c>
      <c r="U20" s="122">
        <f t="shared" si="8"/>
        <v>0</v>
      </c>
      <c r="V20" s="30">
        <f t="shared" si="9"/>
        <v>0</v>
      </c>
      <c r="W20" s="30">
        <f t="shared" si="10"/>
        <v>0</v>
      </c>
      <c r="X20" s="30">
        <f t="shared" si="12"/>
        <v>0</v>
      </c>
      <c r="Y20" s="30">
        <f t="shared" si="12"/>
        <v>0</v>
      </c>
      <c r="Z20" s="2"/>
    </row>
    <row r="21" spans="1:26" ht="54.95" customHeight="1">
      <c r="A21" s="209">
        <v>18</v>
      </c>
      <c r="B21" s="232" t="s">
        <v>211</v>
      </c>
      <c r="C21" s="211">
        <v>2.5</v>
      </c>
      <c r="D21" s="212">
        <v>0</v>
      </c>
      <c r="E21" s="212">
        <v>1</v>
      </c>
      <c r="F21" s="212">
        <v>0</v>
      </c>
      <c r="G21" s="212">
        <v>0</v>
      </c>
      <c r="H21" s="212">
        <v>5</v>
      </c>
      <c r="I21" s="212">
        <v>4</v>
      </c>
      <c r="J21" s="213">
        <v>0</v>
      </c>
      <c r="K21" s="213">
        <v>0</v>
      </c>
      <c r="L21" s="244">
        <f t="shared" si="0"/>
        <v>0</v>
      </c>
      <c r="M21" s="245">
        <f t="shared" si="1"/>
        <v>0</v>
      </c>
      <c r="N21" s="122">
        <f t="shared" si="2"/>
        <v>0</v>
      </c>
      <c r="O21" s="122">
        <f t="shared" si="3"/>
        <v>0</v>
      </c>
      <c r="P21" s="122">
        <f t="shared" si="11"/>
        <v>0</v>
      </c>
      <c r="Q21" s="122">
        <f t="shared" si="4"/>
        <v>0</v>
      </c>
      <c r="R21" s="122">
        <f t="shared" si="5"/>
        <v>0</v>
      </c>
      <c r="S21" s="122">
        <f t="shared" si="6"/>
        <v>0</v>
      </c>
      <c r="T21" s="122">
        <f t="shared" si="7"/>
        <v>0</v>
      </c>
      <c r="U21" s="122">
        <f t="shared" si="8"/>
        <v>0</v>
      </c>
      <c r="V21" s="30">
        <f t="shared" si="9"/>
        <v>0</v>
      </c>
      <c r="W21" s="30">
        <f t="shared" si="10"/>
        <v>0</v>
      </c>
      <c r="X21" s="30">
        <f t="shared" si="12"/>
        <v>0</v>
      </c>
      <c r="Y21" s="30">
        <f t="shared" si="12"/>
        <v>0</v>
      </c>
      <c r="Z21" s="2"/>
    </row>
    <row r="22" spans="1:26" ht="54.95" customHeight="1">
      <c r="A22" s="209">
        <v>19</v>
      </c>
      <c r="B22" s="232" t="s">
        <v>212</v>
      </c>
      <c r="C22" s="211">
        <v>2.5</v>
      </c>
      <c r="D22" s="212">
        <v>0</v>
      </c>
      <c r="E22" s="212">
        <v>1</v>
      </c>
      <c r="F22" s="212">
        <v>0</v>
      </c>
      <c r="G22" s="212">
        <v>0</v>
      </c>
      <c r="H22" s="212">
        <v>5</v>
      </c>
      <c r="I22" s="212">
        <v>4</v>
      </c>
      <c r="J22" s="213">
        <v>0</v>
      </c>
      <c r="K22" s="213">
        <v>0</v>
      </c>
      <c r="L22" s="244">
        <f t="shared" si="0"/>
        <v>0</v>
      </c>
      <c r="M22" s="245">
        <f t="shared" si="1"/>
        <v>0</v>
      </c>
      <c r="N22" s="122">
        <f t="shared" si="2"/>
        <v>0</v>
      </c>
      <c r="O22" s="122">
        <f t="shared" si="3"/>
        <v>0</v>
      </c>
      <c r="P22" s="122">
        <f t="shared" si="11"/>
        <v>0</v>
      </c>
      <c r="Q22" s="122">
        <f t="shared" si="4"/>
        <v>0</v>
      </c>
      <c r="R22" s="122">
        <f t="shared" si="5"/>
        <v>0</v>
      </c>
      <c r="S22" s="122">
        <f t="shared" si="6"/>
        <v>0</v>
      </c>
      <c r="T22" s="122">
        <f t="shared" si="7"/>
        <v>0</v>
      </c>
      <c r="U22" s="122">
        <f t="shared" si="8"/>
        <v>0</v>
      </c>
      <c r="V22" s="30">
        <f t="shared" si="9"/>
        <v>0</v>
      </c>
      <c r="W22" s="30">
        <f t="shared" si="10"/>
        <v>0</v>
      </c>
      <c r="X22" s="30">
        <f t="shared" si="12"/>
        <v>0</v>
      </c>
      <c r="Y22" s="30">
        <f t="shared" si="12"/>
        <v>0</v>
      </c>
      <c r="Z22" s="2"/>
    </row>
    <row r="23" spans="1:26" ht="54.95" customHeight="1">
      <c r="A23" s="209">
        <v>20</v>
      </c>
      <c r="B23" s="232" t="s">
        <v>213</v>
      </c>
      <c r="C23" s="211">
        <v>1</v>
      </c>
      <c r="D23" s="212">
        <v>0</v>
      </c>
      <c r="E23" s="212">
        <v>1</v>
      </c>
      <c r="F23" s="212">
        <v>0</v>
      </c>
      <c r="G23" s="212">
        <v>0</v>
      </c>
      <c r="H23" s="212">
        <v>5</v>
      </c>
      <c r="I23" s="212">
        <v>4</v>
      </c>
      <c r="J23" s="213">
        <v>0</v>
      </c>
      <c r="K23" s="213">
        <v>0</v>
      </c>
      <c r="L23" s="244">
        <f t="shared" si="0"/>
        <v>0</v>
      </c>
      <c r="M23" s="245">
        <f t="shared" si="1"/>
        <v>0</v>
      </c>
      <c r="N23" s="122">
        <f t="shared" si="2"/>
        <v>0</v>
      </c>
      <c r="O23" s="122">
        <f t="shared" si="3"/>
        <v>0</v>
      </c>
      <c r="P23" s="122">
        <f t="shared" si="11"/>
        <v>0</v>
      </c>
      <c r="Q23" s="122">
        <f t="shared" si="4"/>
        <v>0</v>
      </c>
      <c r="R23" s="122">
        <f t="shared" si="5"/>
        <v>0</v>
      </c>
      <c r="S23" s="122">
        <f t="shared" si="6"/>
        <v>0</v>
      </c>
      <c r="T23" s="122">
        <f t="shared" si="7"/>
        <v>0</v>
      </c>
      <c r="U23" s="122">
        <f t="shared" si="8"/>
        <v>0</v>
      </c>
      <c r="V23" s="30">
        <f t="shared" si="9"/>
        <v>0</v>
      </c>
      <c r="W23" s="30">
        <f t="shared" si="10"/>
        <v>0</v>
      </c>
      <c r="X23" s="30">
        <f t="shared" si="12"/>
        <v>0</v>
      </c>
      <c r="Y23" s="30">
        <f t="shared" si="12"/>
        <v>0</v>
      </c>
      <c r="Z23" s="2"/>
    </row>
    <row r="24" spans="1:26" ht="54.95" customHeight="1">
      <c r="A24" s="209">
        <v>21</v>
      </c>
      <c r="B24" s="232" t="s">
        <v>214</v>
      </c>
      <c r="C24" s="211">
        <v>2.5</v>
      </c>
      <c r="D24" s="212">
        <v>0</v>
      </c>
      <c r="E24" s="212">
        <v>1</v>
      </c>
      <c r="F24" s="212">
        <v>0</v>
      </c>
      <c r="G24" s="212">
        <v>0</v>
      </c>
      <c r="H24" s="212">
        <v>5</v>
      </c>
      <c r="I24" s="212">
        <v>4</v>
      </c>
      <c r="J24" s="213">
        <v>0</v>
      </c>
      <c r="K24" s="213">
        <v>0</v>
      </c>
      <c r="L24" s="244">
        <f t="shared" si="0"/>
        <v>0</v>
      </c>
      <c r="M24" s="245">
        <f t="shared" si="1"/>
        <v>0</v>
      </c>
      <c r="N24" s="122">
        <f t="shared" si="2"/>
        <v>0</v>
      </c>
      <c r="O24" s="122">
        <f t="shared" si="3"/>
        <v>0</v>
      </c>
      <c r="P24" s="122">
        <f t="shared" si="11"/>
        <v>0</v>
      </c>
      <c r="Q24" s="122">
        <f t="shared" si="4"/>
        <v>0</v>
      </c>
      <c r="R24" s="122">
        <f t="shared" si="5"/>
        <v>0</v>
      </c>
      <c r="S24" s="122">
        <f t="shared" si="6"/>
        <v>0</v>
      </c>
      <c r="T24" s="122">
        <f t="shared" si="7"/>
        <v>0</v>
      </c>
      <c r="U24" s="122">
        <f t="shared" si="8"/>
        <v>0</v>
      </c>
      <c r="V24" s="30">
        <f t="shared" si="9"/>
        <v>0</v>
      </c>
      <c r="W24" s="30">
        <f t="shared" si="10"/>
        <v>0</v>
      </c>
      <c r="X24" s="30">
        <f t="shared" si="12"/>
        <v>0</v>
      </c>
      <c r="Y24" s="30">
        <f t="shared" si="12"/>
        <v>0</v>
      </c>
      <c r="Z24" s="2"/>
    </row>
    <row r="25" spans="1:26" ht="54.95" customHeight="1">
      <c r="A25" s="209">
        <v>22</v>
      </c>
      <c r="B25" s="232" t="s">
        <v>215</v>
      </c>
      <c r="C25" s="211">
        <v>2.5</v>
      </c>
      <c r="D25" s="212">
        <v>0</v>
      </c>
      <c r="E25" s="212">
        <v>1</v>
      </c>
      <c r="F25" s="212">
        <v>0</v>
      </c>
      <c r="G25" s="212">
        <v>0</v>
      </c>
      <c r="H25" s="212">
        <v>5</v>
      </c>
      <c r="I25" s="212">
        <v>4</v>
      </c>
      <c r="J25" s="213">
        <v>0</v>
      </c>
      <c r="K25" s="213">
        <v>0</v>
      </c>
      <c r="L25" s="244">
        <f t="shared" si="0"/>
        <v>0</v>
      </c>
      <c r="M25" s="245">
        <f t="shared" si="1"/>
        <v>0</v>
      </c>
      <c r="N25" s="122">
        <f t="shared" si="2"/>
        <v>0</v>
      </c>
      <c r="O25" s="122">
        <f t="shared" si="3"/>
        <v>0</v>
      </c>
      <c r="P25" s="122">
        <f t="shared" si="11"/>
        <v>0</v>
      </c>
      <c r="Q25" s="122">
        <f t="shared" si="4"/>
        <v>0</v>
      </c>
      <c r="R25" s="122">
        <f t="shared" si="5"/>
        <v>0</v>
      </c>
      <c r="S25" s="122">
        <f t="shared" si="6"/>
        <v>0</v>
      </c>
      <c r="T25" s="122">
        <f t="shared" si="7"/>
        <v>0</v>
      </c>
      <c r="U25" s="122">
        <f t="shared" si="8"/>
        <v>0</v>
      </c>
      <c r="V25" s="30">
        <f t="shared" si="9"/>
        <v>0</v>
      </c>
      <c r="W25" s="30">
        <f t="shared" si="10"/>
        <v>0</v>
      </c>
      <c r="X25" s="30">
        <f t="shared" si="12"/>
        <v>0</v>
      </c>
      <c r="Y25" s="30">
        <f t="shared" si="12"/>
        <v>0</v>
      </c>
      <c r="Z25" s="2"/>
    </row>
    <row r="26" spans="1:26" ht="54.95" customHeight="1">
      <c r="A26" s="209">
        <v>23</v>
      </c>
      <c r="B26" s="232" t="s">
        <v>216</v>
      </c>
      <c r="C26" s="211">
        <v>2.5</v>
      </c>
      <c r="D26" s="212">
        <v>0</v>
      </c>
      <c r="E26" s="212">
        <v>1</v>
      </c>
      <c r="F26" s="212">
        <v>0</v>
      </c>
      <c r="G26" s="212">
        <v>0</v>
      </c>
      <c r="H26" s="212">
        <v>5</v>
      </c>
      <c r="I26" s="212">
        <v>4</v>
      </c>
      <c r="J26" s="213">
        <v>0</v>
      </c>
      <c r="K26" s="213">
        <v>0</v>
      </c>
      <c r="L26" s="244">
        <f t="shared" si="0"/>
        <v>0</v>
      </c>
      <c r="M26" s="245">
        <f t="shared" si="1"/>
        <v>0</v>
      </c>
      <c r="N26" s="122">
        <f t="shared" si="2"/>
        <v>0</v>
      </c>
      <c r="O26" s="122">
        <f t="shared" si="3"/>
        <v>0</v>
      </c>
      <c r="P26" s="122">
        <f t="shared" si="11"/>
        <v>0</v>
      </c>
      <c r="Q26" s="122">
        <f t="shared" si="4"/>
        <v>0</v>
      </c>
      <c r="R26" s="122">
        <f t="shared" si="5"/>
        <v>0</v>
      </c>
      <c r="S26" s="122">
        <f t="shared" si="6"/>
        <v>0</v>
      </c>
      <c r="T26" s="122">
        <f t="shared" si="7"/>
        <v>0</v>
      </c>
      <c r="U26" s="122">
        <f t="shared" si="8"/>
        <v>0</v>
      </c>
      <c r="V26" s="30">
        <f t="shared" si="9"/>
        <v>0</v>
      </c>
      <c r="W26" s="30">
        <f t="shared" si="10"/>
        <v>0</v>
      </c>
      <c r="X26" s="30">
        <f t="shared" si="12"/>
        <v>0</v>
      </c>
      <c r="Y26" s="30">
        <f t="shared" si="12"/>
        <v>0</v>
      </c>
      <c r="Z26" s="2"/>
    </row>
    <row r="27" spans="1:26" ht="54.95" customHeight="1">
      <c r="A27" s="209">
        <v>24</v>
      </c>
      <c r="B27" s="232" t="s">
        <v>217</v>
      </c>
      <c r="C27" s="211">
        <v>1</v>
      </c>
      <c r="D27" s="212">
        <v>0</v>
      </c>
      <c r="E27" s="212">
        <v>1</v>
      </c>
      <c r="F27" s="212">
        <v>0</v>
      </c>
      <c r="G27" s="212">
        <v>0</v>
      </c>
      <c r="H27" s="212">
        <v>5</v>
      </c>
      <c r="I27" s="212">
        <v>4</v>
      </c>
      <c r="J27" s="213">
        <v>0</v>
      </c>
      <c r="K27" s="213">
        <v>0</v>
      </c>
      <c r="L27" s="244">
        <f t="shared" si="0"/>
        <v>0</v>
      </c>
      <c r="M27" s="245">
        <f t="shared" si="1"/>
        <v>0</v>
      </c>
      <c r="N27" s="122">
        <f t="shared" si="2"/>
        <v>0</v>
      </c>
      <c r="O27" s="122">
        <f t="shared" si="3"/>
        <v>0</v>
      </c>
      <c r="P27" s="122">
        <f t="shared" si="11"/>
        <v>0</v>
      </c>
      <c r="Q27" s="122">
        <f t="shared" si="4"/>
        <v>0</v>
      </c>
      <c r="R27" s="122">
        <f t="shared" si="5"/>
        <v>0</v>
      </c>
      <c r="S27" s="122">
        <f t="shared" si="6"/>
        <v>0</v>
      </c>
      <c r="T27" s="122">
        <f t="shared" si="7"/>
        <v>0</v>
      </c>
      <c r="U27" s="122">
        <f t="shared" si="8"/>
        <v>0</v>
      </c>
      <c r="V27" s="30">
        <f t="shared" si="9"/>
        <v>0</v>
      </c>
      <c r="W27" s="30">
        <f t="shared" si="10"/>
        <v>0</v>
      </c>
      <c r="X27" s="30">
        <f t="shared" si="12"/>
        <v>0</v>
      </c>
      <c r="Y27" s="30">
        <f t="shared" si="12"/>
        <v>0</v>
      </c>
      <c r="Z27" s="2"/>
    </row>
    <row r="28" spans="1:26" ht="54.95" customHeight="1">
      <c r="A28" s="209">
        <v>25</v>
      </c>
      <c r="B28" s="232" t="s">
        <v>218</v>
      </c>
      <c r="C28" s="211">
        <v>2.5</v>
      </c>
      <c r="D28" s="212">
        <v>0</v>
      </c>
      <c r="E28" s="212">
        <v>1</v>
      </c>
      <c r="F28" s="212">
        <v>0</v>
      </c>
      <c r="G28" s="212">
        <v>0</v>
      </c>
      <c r="H28" s="212">
        <v>5</v>
      </c>
      <c r="I28" s="212">
        <v>4</v>
      </c>
      <c r="J28" s="213">
        <v>0</v>
      </c>
      <c r="K28" s="213">
        <v>0</v>
      </c>
      <c r="L28" s="244">
        <f t="shared" si="0"/>
        <v>0</v>
      </c>
      <c r="M28" s="245">
        <f t="shared" si="1"/>
        <v>0</v>
      </c>
      <c r="N28" s="122">
        <f t="shared" si="2"/>
        <v>0</v>
      </c>
      <c r="O28" s="122">
        <f t="shared" si="3"/>
        <v>0</v>
      </c>
      <c r="P28" s="122">
        <f t="shared" si="11"/>
        <v>0</v>
      </c>
      <c r="Q28" s="122">
        <f t="shared" si="4"/>
        <v>0</v>
      </c>
      <c r="R28" s="122">
        <f t="shared" si="5"/>
        <v>0</v>
      </c>
      <c r="S28" s="122">
        <f t="shared" si="6"/>
        <v>0</v>
      </c>
      <c r="T28" s="122">
        <f t="shared" si="7"/>
        <v>0</v>
      </c>
      <c r="U28" s="122">
        <f t="shared" si="8"/>
        <v>0</v>
      </c>
      <c r="V28" s="30">
        <f t="shared" si="9"/>
        <v>0</v>
      </c>
      <c r="W28" s="30">
        <f t="shared" si="10"/>
        <v>0</v>
      </c>
      <c r="X28" s="30">
        <f t="shared" si="12"/>
        <v>0</v>
      </c>
      <c r="Y28" s="30">
        <f t="shared" si="12"/>
        <v>0</v>
      </c>
      <c r="Z28" s="2"/>
    </row>
    <row r="29" spans="1:26" ht="54.95" customHeight="1">
      <c r="A29" s="209">
        <v>26</v>
      </c>
      <c r="B29" s="232" t="s">
        <v>219</v>
      </c>
      <c r="C29" s="211">
        <v>2.5</v>
      </c>
      <c r="D29" s="212">
        <v>0</v>
      </c>
      <c r="E29" s="212">
        <v>1</v>
      </c>
      <c r="F29" s="212">
        <v>0</v>
      </c>
      <c r="G29" s="212">
        <v>0</v>
      </c>
      <c r="H29" s="212">
        <v>5</v>
      </c>
      <c r="I29" s="212">
        <v>4</v>
      </c>
      <c r="J29" s="213">
        <v>0</v>
      </c>
      <c r="K29" s="213">
        <v>0</v>
      </c>
      <c r="L29" s="244">
        <f t="shared" si="0"/>
        <v>0</v>
      </c>
      <c r="M29" s="245">
        <f t="shared" si="1"/>
        <v>0</v>
      </c>
      <c r="N29" s="122">
        <f t="shared" si="2"/>
        <v>0</v>
      </c>
      <c r="O29" s="122">
        <f t="shared" si="3"/>
        <v>0</v>
      </c>
      <c r="P29" s="122">
        <f t="shared" si="11"/>
        <v>0</v>
      </c>
      <c r="Q29" s="122">
        <f t="shared" si="4"/>
        <v>0</v>
      </c>
      <c r="R29" s="122">
        <f t="shared" si="5"/>
        <v>0</v>
      </c>
      <c r="S29" s="122">
        <f t="shared" si="6"/>
        <v>0</v>
      </c>
      <c r="T29" s="122">
        <f t="shared" si="7"/>
        <v>0</v>
      </c>
      <c r="U29" s="122">
        <f t="shared" si="8"/>
        <v>0</v>
      </c>
      <c r="V29" s="30">
        <f t="shared" si="9"/>
        <v>0</v>
      </c>
      <c r="W29" s="30">
        <f t="shared" si="10"/>
        <v>0</v>
      </c>
      <c r="X29" s="30">
        <f t="shared" si="12"/>
        <v>0</v>
      </c>
      <c r="Y29" s="30">
        <f t="shared" si="12"/>
        <v>0</v>
      </c>
      <c r="Z29" s="2"/>
    </row>
    <row r="30" spans="1:26" ht="54.95" customHeight="1">
      <c r="A30" s="209">
        <v>27</v>
      </c>
      <c r="B30" s="232" t="s">
        <v>220</v>
      </c>
      <c r="C30" s="211">
        <v>2.5</v>
      </c>
      <c r="D30" s="212">
        <v>0</v>
      </c>
      <c r="E30" s="212">
        <v>1</v>
      </c>
      <c r="F30" s="212">
        <v>0</v>
      </c>
      <c r="G30" s="212">
        <v>0</v>
      </c>
      <c r="H30" s="212">
        <v>5</v>
      </c>
      <c r="I30" s="212">
        <v>4</v>
      </c>
      <c r="J30" s="213">
        <v>0</v>
      </c>
      <c r="K30" s="213">
        <v>0</v>
      </c>
      <c r="L30" s="244">
        <f t="shared" si="0"/>
        <v>0</v>
      </c>
      <c r="M30" s="245">
        <f t="shared" si="1"/>
        <v>0</v>
      </c>
      <c r="N30" s="122">
        <f t="shared" si="2"/>
        <v>0</v>
      </c>
      <c r="O30" s="122">
        <f t="shared" si="3"/>
        <v>0</v>
      </c>
      <c r="P30" s="122">
        <f t="shared" si="11"/>
        <v>0</v>
      </c>
      <c r="Q30" s="122">
        <f t="shared" si="4"/>
        <v>0</v>
      </c>
      <c r="R30" s="122">
        <f t="shared" si="5"/>
        <v>0</v>
      </c>
      <c r="S30" s="122">
        <f t="shared" si="6"/>
        <v>0</v>
      </c>
      <c r="T30" s="122">
        <f t="shared" si="7"/>
        <v>0</v>
      </c>
      <c r="U30" s="122">
        <f t="shared" si="8"/>
        <v>0</v>
      </c>
      <c r="V30" s="30">
        <f t="shared" si="9"/>
        <v>0</v>
      </c>
      <c r="W30" s="30">
        <f t="shared" si="10"/>
        <v>0</v>
      </c>
      <c r="X30" s="30">
        <f t="shared" si="12"/>
        <v>0</v>
      </c>
      <c r="Y30" s="30">
        <f t="shared" si="12"/>
        <v>0</v>
      </c>
      <c r="Z30" s="2"/>
    </row>
    <row r="31" spans="1:26" ht="54.95" customHeight="1">
      <c r="A31" s="209">
        <v>28</v>
      </c>
      <c r="B31" s="232" t="s">
        <v>221</v>
      </c>
      <c r="C31" s="211">
        <v>1</v>
      </c>
      <c r="D31" s="212">
        <v>0</v>
      </c>
      <c r="E31" s="212">
        <v>1</v>
      </c>
      <c r="F31" s="212">
        <v>0</v>
      </c>
      <c r="G31" s="212">
        <v>0</v>
      </c>
      <c r="H31" s="212">
        <v>5</v>
      </c>
      <c r="I31" s="212">
        <v>4</v>
      </c>
      <c r="J31" s="213">
        <v>0</v>
      </c>
      <c r="K31" s="213">
        <v>0</v>
      </c>
      <c r="L31" s="244">
        <f t="shared" si="0"/>
        <v>0</v>
      </c>
      <c r="M31" s="245">
        <f t="shared" si="1"/>
        <v>0</v>
      </c>
      <c r="N31" s="122">
        <f t="shared" si="2"/>
        <v>0</v>
      </c>
      <c r="O31" s="122">
        <f t="shared" si="3"/>
        <v>0</v>
      </c>
      <c r="P31" s="122">
        <f t="shared" si="11"/>
        <v>0</v>
      </c>
      <c r="Q31" s="122">
        <f t="shared" si="4"/>
        <v>0</v>
      </c>
      <c r="R31" s="122">
        <f t="shared" si="5"/>
        <v>0</v>
      </c>
      <c r="S31" s="122">
        <f t="shared" si="6"/>
        <v>0</v>
      </c>
      <c r="T31" s="122">
        <f t="shared" si="7"/>
        <v>0</v>
      </c>
      <c r="U31" s="122">
        <f t="shared" si="8"/>
        <v>0</v>
      </c>
      <c r="V31" s="30">
        <f t="shared" si="9"/>
        <v>0</v>
      </c>
      <c r="W31" s="30">
        <f t="shared" si="10"/>
        <v>0</v>
      </c>
      <c r="X31" s="30">
        <f t="shared" si="12"/>
        <v>0</v>
      </c>
      <c r="Y31" s="30">
        <f t="shared" si="12"/>
        <v>0</v>
      </c>
      <c r="Z31" s="2"/>
    </row>
    <row r="32" spans="1:26" ht="54.95" customHeight="1">
      <c r="A32" s="209">
        <v>29</v>
      </c>
      <c r="B32" s="232" t="s">
        <v>222</v>
      </c>
      <c r="C32" s="211">
        <v>2.5</v>
      </c>
      <c r="D32" s="212">
        <v>0</v>
      </c>
      <c r="E32" s="212">
        <v>1</v>
      </c>
      <c r="F32" s="212">
        <v>0</v>
      </c>
      <c r="G32" s="212">
        <v>1</v>
      </c>
      <c r="H32" s="212">
        <v>5</v>
      </c>
      <c r="I32" s="212">
        <v>4</v>
      </c>
      <c r="J32" s="213">
        <v>0</v>
      </c>
      <c r="K32" s="213">
        <v>0</v>
      </c>
      <c r="L32" s="244">
        <f t="shared" si="0"/>
        <v>0</v>
      </c>
      <c r="M32" s="245">
        <f t="shared" si="1"/>
        <v>0</v>
      </c>
      <c r="N32" s="122">
        <f t="shared" si="2"/>
        <v>0</v>
      </c>
      <c r="O32" s="122">
        <f t="shared" si="3"/>
        <v>0</v>
      </c>
      <c r="P32" s="122">
        <f t="shared" si="11"/>
        <v>0</v>
      </c>
      <c r="Q32" s="122">
        <f t="shared" si="4"/>
        <v>0</v>
      </c>
      <c r="R32" s="122">
        <f t="shared" si="5"/>
        <v>0</v>
      </c>
      <c r="S32" s="122">
        <f t="shared" si="6"/>
        <v>0</v>
      </c>
      <c r="T32" s="122">
        <f t="shared" si="7"/>
        <v>0</v>
      </c>
      <c r="U32" s="122">
        <f t="shared" si="8"/>
        <v>0</v>
      </c>
      <c r="V32" s="30">
        <f t="shared" si="9"/>
        <v>0</v>
      </c>
      <c r="W32" s="30">
        <f t="shared" si="10"/>
        <v>0</v>
      </c>
      <c r="X32" s="30">
        <f t="shared" si="12"/>
        <v>0</v>
      </c>
      <c r="Y32" s="30">
        <f t="shared" si="12"/>
        <v>0</v>
      </c>
      <c r="Z32" s="2"/>
    </row>
    <row r="33" spans="1:26" ht="54.95" customHeight="1">
      <c r="A33" s="209">
        <v>30</v>
      </c>
      <c r="B33" s="232" t="s">
        <v>223</v>
      </c>
      <c r="C33" s="211">
        <v>1</v>
      </c>
      <c r="D33" s="212">
        <v>0</v>
      </c>
      <c r="E33" s="212">
        <v>1</v>
      </c>
      <c r="F33" s="212">
        <v>0</v>
      </c>
      <c r="G33" s="212">
        <v>0</v>
      </c>
      <c r="H33" s="212">
        <v>5</v>
      </c>
      <c r="I33" s="212">
        <v>4</v>
      </c>
      <c r="J33" s="213">
        <v>0</v>
      </c>
      <c r="K33" s="213">
        <v>0</v>
      </c>
      <c r="L33" s="244">
        <f t="shared" si="0"/>
        <v>0</v>
      </c>
      <c r="M33" s="245">
        <f t="shared" si="1"/>
        <v>0</v>
      </c>
      <c r="N33" s="122">
        <f t="shared" si="2"/>
        <v>0</v>
      </c>
      <c r="O33" s="122">
        <f t="shared" si="3"/>
        <v>0</v>
      </c>
      <c r="P33" s="122">
        <f t="shared" si="11"/>
        <v>0</v>
      </c>
      <c r="Q33" s="122">
        <f t="shared" si="4"/>
        <v>0</v>
      </c>
      <c r="R33" s="122">
        <f t="shared" si="5"/>
        <v>0</v>
      </c>
      <c r="S33" s="122">
        <f t="shared" si="6"/>
        <v>0</v>
      </c>
      <c r="T33" s="122">
        <f t="shared" si="7"/>
        <v>0</v>
      </c>
      <c r="U33" s="122">
        <f t="shared" si="8"/>
        <v>0</v>
      </c>
      <c r="V33" s="30">
        <f t="shared" si="9"/>
        <v>0</v>
      </c>
      <c r="W33" s="30">
        <f t="shared" si="10"/>
        <v>0</v>
      </c>
      <c r="X33" s="30">
        <f t="shared" si="12"/>
        <v>0</v>
      </c>
      <c r="Y33" s="30">
        <f t="shared" si="12"/>
        <v>0</v>
      </c>
      <c r="Z33" s="2"/>
    </row>
    <row r="34" spans="1:26" ht="54.95" customHeight="1">
      <c r="A34" s="209">
        <v>31</v>
      </c>
      <c r="B34" s="232" t="s">
        <v>224</v>
      </c>
      <c r="C34" s="211">
        <v>1</v>
      </c>
      <c r="D34" s="212">
        <v>0</v>
      </c>
      <c r="E34" s="212">
        <v>1</v>
      </c>
      <c r="F34" s="212">
        <v>0</v>
      </c>
      <c r="G34" s="212">
        <v>0</v>
      </c>
      <c r="H34" s="212">
        <v>5</v>
      </c>
      <c r="I34" s="212">
        <v>4</v>
      </c>
      <c r="J34" s="213">
        <v>0</v>
      </c>
      <c r="K34" s="213">
        <v>0</v>
      </c>
      <c r="L34" s="244">
        <f t="shared" si="0"/>
        <v>0</v>
      </c>
      <c r="M34" s="245">
        <f t="shared" si="1"/>
        <v>0</v>
      </c>
      <c r="N34" s="122">
        <f t="shared" si="2"/>
        <v>0</v>
      </c>
      <c r="O34" s="122">
        <f t="shared" si="3"/>
        <v>0</v>
      </c>
      <c r="P34" s="122">
        <f t="shared" si="11"/>
        <v>0</v>
      </c>
      <c r="Q34" s="122">
        <f t="shared" si="4"/>
        <v>0</v>
      </c>
      <c r="R34" s="122">
        <f t="shared" si="5"/>
        <v>0</v>
      </c>
      <c r="S34" s="122">
        <f t="shared" si="6"/>
        <v>0</v>
      </c>
      <c r="T34" s="122">
        <f t="shared" si="7"/>
        <v>0</v>
      </c>
      <c r="U34" s="122">
        <f t="shared" si="8"/>
        <v>0</v>
      </c>
      <c r="V34" s="30">
        <f t="shared" si="9"/>
        <v>0</v>
      </c>
      <c r="W34" s="30">
        <f t="shared" si="10"/>
        <v>0</v>
      </c>
      <c r="X34" s="30">
        <f t="shared" si="12"/>
        <v>0</v>
      </c>
      <c r="Y34" s="30">
        <f t="shared" si="12"/>
        <v>0</v>
      </c>
      <c r="Z34" s="2"/>
    </row>
    <row r="35" spans="1:26" ht="54.95" customHeight="1">
      <c r="A35" s="209">
        <v>32</v>
      </c>
      <c r="B35" s="232" t="s">
        <v>225</v>
      </c>
      <c r="C35" s="211">
        <v>1</v>
      </c>
      <c r="D35" s="212">
        <v>0</v>
      </c>
      <c r="E35" s="212">
        <v>1</v>
      </c>
      <c r="F35" s="212">
        <v>0</v>
      </c>
      <c r="G35" s="212">
        <v>0</v>
      </c>
      <c r="H35" s="212">
        <v>5</v>
      </c>
      <c r="I35" s="212">
        <v>4</v>
      </c>
      <c r="J35" s="213">
        <v>0</v>
      </c>
      <c r="K35" s="213">
        <v>0</v>
      </c>
      <c r="L35" s="244">
        <f t="shared" si="0"/>
        <v>0</v>
      </c>
      <c r="M35" s="245">
        <f t="shared" si="1"/>
        <v>0</v>
      </c>
      <c r="N35" s="122">
        <f t="shared" si="2"/>
        <v>0</v>
      </c>
      <c r="O35" s="122">
        <f t="shared" si="3"/>
        <v>0</v>
      </c>
      <c r="P35" s="122">
        <f t="shared" si="11"/>
        <v>0</v>
      </c>
      <c r="Q35" s="122">
        <f t="shared" si="4"/>
        <v>0</v>
      </c>
      <c r="R35" s="122">
        <f t="shared" si="5"/>
        <v>0</v>
      </c>
      <c r="S35" s="122">
        <f t="shared" si="6"/>
        <v>0</v>
      </c>
      <c r="T35" s="122">
        <f t="shared" si="7"/>
        <v>0</v>
      </c>
      <c r="U35" s="122">
        <f t="shared" si="8"/>
        <v>0</v>
      </c>
      <c r="V35" s="30">
        <f t="shared" si="9"/>
        <v>0</v>
      </c>
      <c r="W35" s="30">
        <f t="shared" si="10"/>
        <v>0</v>
      </c>
      <c r="X35" s="30">
        <f t="shared" si="12"/>
        <v>0</v>
      </c>
      <c r="Y35" s="30">
        <f t="shared" si="12"/>
        <v>0</v>
      </c>
      <c r="Z35" s="2"/>
    </row>
    <row r="36" spans="1:26" ht="54.95" customHeight="1">
      <c r="A36" s="209">
        <v>33</v>
      </c>
      <c r="B36" s="232" t="s">
        <v>226</v>
      </c>
      <c r="C36" s="211">
        <v>1</v>
      </c>
      <c r="D36" s="212">
        <v>0</v>
      </c>
      <c r="E36" s="212">
        <v>1</v>
      </c>
      <c r="F36" s="212">
        <v>0</v>
      </c>
      <c r="G36" s="212">
        <v>0</v>
      </c>
      <c r="H36" s="212">
        <v>4</v>
      </c>
      <c r="I36" s="212">
        <v>4</v>
      </c>
      <c r="J36" s="213">
        <v>0</v>
      </c>
      <c r="K36" s="213">
        <v>0</v>
      </c>
      <c r="L36" s="244">
        <f t="shared" si="0"/>
        <v>0</v>
      </c>
      <c r="M36" s="245">
        <f t="shared" si="1"/>
        <v>0</v>
      </c>
      <c r="N36" s="122">
        <f t="shared" si="2"/>
        <v>0</v>
      </c>
      <c r="O36" s="122">
        <f t="shared" si="3"/>
        <v>0</v>
      </c>
      <c r="P36" s="122">
        <f t="shared" si="11"/>
        <v>0</v>
      </c>
      <c r="Q36" s="122">
        <f t="shared" si="4"/>
        <v>0</v>
      </c>
      <c r="R36" s="122">
        <f t="shared" si="5"/>
        <v>0</v>
      </c>
      <c r="S36" s="122">
        <f t="shared" si="6"/>
        <v>0</v>
      </c>
      <c r="T36" s="122">
        <f t="shared" si="7"/>
        <v>0</v>
      </c>
      <c r="U36" s="122">
        <f t="shared" si="8"/>
        <v>0</v>
      </c>
      <c r="V36" s="30">
        <f t="shared" si="9"/>
        <v>0</v>
      </c>
      <c r="W36" s="30">
        <f t="shared" si="10"/>
        <v>0</v>
      </c>
      <c r="X36" s="30">
        <f t="shared" si="12"/>
        <v>0</v>
      </c>
      <c r="Y36" s="30">
        <f t="shared" si="12"/>
        <v>0</v>
      </c>
      <c r="Z36" s="2"/>
    </row>
    <row r="37" spans="1:26" ht="54.95" customHeight="1">
      <c r="A37" s="209">
        <v>34</v>
      </c>
      <c r="B37" s="232" t="s">
        <v>227</v>
      </c>
      <c r="C37" s="211">
        <v>0.12</v>
      </c>
      <c r="D37" s="212">
        <v>0</v>
      </c>
      <c r="E37" s="212">
        <v>1</v>
      </c>
      <c r="F37" s="212">
        <v>0</v>
      </c>
      <c r="G37" s="212">
        <v>0</v>
      </c>
      <c r="H37" s="212">
        <v>5</v>
      </c>
      <c r="I37" s="212">
        <v>4</v>
      </c>
      <c r="J37" s="213">
        <v>0</v>
      </c>
      <c r="K37" s="213">
        <v>0</v>
      </c>
      <c r="L37" s="244">
        <f t="shared" si="0"/>
        <v>0</v>
      </c>
      <c r="M37" s="245">
        <f t="shared" si="1"/>
        <v>0</v>
      </c>
      <c r="N37" s="122">
        <f t="shared" si="2"/>
        <v>0</v>
      </c>
      <c r="O37" s="122">
        <f t="shared" si="3"/>
        <v>0</v>
      </c>
      <c r="P37" s="122">
        <f t="shared" si="11"/>
        <v>0</v>
      </c>
      <c r="Q37" s="122">
        <f t="shared" si="4"/>
        <v>0</v>
      </c>
      <c r="R37" s="122">
        <f t="shared" si="5"/>
        <v>0</v>
      </c>
      <c r="S37" s="122">
        <f t="shared" si="6"/>
        <v>0</v>
      </c>
      <c r="T37" s="122">
        <f t="shared" si="7"/>
        <v>0</v>
      </c>
      <c r="U37" s="122">
        <f t="shared" si="8"/>
        <v>0</v>
      </c>
      <c r="V37" s="30">
        <f t="shared" si="9"/>
        <v>0</v>
      </c>
      <c r="W37" s="30">
        <f t="shared" si="10"/>
        <v>0</v>
      </c>
      <c r="X37" s="30">
        <f t="shared" si="12"/>
        <v>0</v>
      </c>
      <c r="Y37" s="30">
        <f t="shared" si="12"/>
        <v>0</v>
      </c>
      <c r="Z37" s="2"/>
    </row>
    <row r="38" spans="1:26" ht="54.95" customHeight="1">
      <c r="A38" s="209">
        <v>35</v>
      </c>
      <c r="B38" s="232" t="s">
        <v>228</v>
      </c>
      <c r="C38" s="211">
        <v>6</v>
      </c>
      <c r="D38" s="212">
        <v>0</v>
      </c>
      <c r="E38" s="212">
        <v>1</v>
      </c>
      <c r="F38" s="212">
        <v>1</v>
      </c>
      <c r="G38" s="212">
        <v>1</v>
      </c>
      <c r="H38" s="212">
        <v>5</v>
      </c>
      <c r="I38" s="212">
        <v>4</v>
      </c>
      <c r="J38" s="213">
        <v>0</v>
      </c>
      <c r="K38" s="213">
        <v>0</v>
      </c>
      <c r="L38" s="244">
        <f t="shared" si="0"/>
        <v>0</v>
      </c>
      <c r="M38" s="245">
        <f t="shared" si="1"/>
        <v>0</v>
      </c>
      <c r="N38" s="122">
        <f t="shared" si="2"/>
        <v>0</v>
      </c>
      <c r="O38" s="122">
        <f t="shared" si="3"/>
        <v>0</v>
      </c>
      <c r="P38" s="122">
        <f t="shared" si="11"/>
        <v>0</v>
      </c>
      <c r="Q38" s="122">
        <f t="shared" si="4"/>
        <v>0</v>
      </c>
      <c r="R38" s="122">
        <f t="shared" si="5"/>
        <v>0</v>
      </c>
      <c r="S38" s="122">
        <f t="shared" si="6"/>
        <v>0</v>
      </c>
      <c r="T38" s="122">
        <f t="shared" si="7"/>
        <v>0</v>
      </c>
      <c r="U38" s="122">
        <f t="shared" si="8"/>
        <v>0</v>
      </c>
      <c r="V38" s="30">
        <f t="shared" si="9"/>
        <v>0</v>
      </c>
      <c r="W38" s="30">
        <f t="shared" si="10"/>
        <v>0</v>
      </c>
      <c r="X38" s="30">
        <f t="shared" si="12"/>
        <v>0</v>
      </c>
      <c r="Y38" s="30">
        <f t="shared" si="12"/>
        <v>0</v>
      </c>
      <c r="Z38" s="2"/>
    </row>
    <row r="39" spans="1:26" ht="54.95" customHeight="1">
      <c r="A39" s="209">
        <v>36</v>
      </c>
      <c r="B39" s="232" t="s">
        <v>229</v>
      </c>
      <c r="C39" s="211">
        <v>2</v>
      </c>
      <c r="D39" s="212">
        <v>0</v>
      </c>
      <c r="E39" s="212">
        <v>1</v>
      </c>
      <c r="F39" s="212">
        <v>0</v>
      </c>
      <c r="G39" s="212">
        <v>0</v>
      </c>
      <c r="H39" s="212">
        <v>5</v>
      </c>
      <c r="I39" s="212">
        <v>4</v>
      </c>
      <c r="J39" s="213">
        <v>0</v>
      </c>
      <c r="K39" s="213">
        <v>0</v>
      </c>
      <c r="L39" s="244">
        <f t="shared" si="0"/>
        <v>0</v>
      </c>
      <c r="M39" s="245">
        <f t="shared" si="1"/>
        <v>0</v>
      </c>
      <c r="N39" s="122">
        <f t="shared" si="2"/>
        <v>0</v>
      </c>
      <c r="O39" s="122">
        <f t="shared" si="3"/>
        <v>0</v>
      </c>
      <c r="P39" s="122">
        <f t="shared" si="11"/>
        <v>0</v>
      </c>
      <c r="Q39" s="122">
        <f t="shared" si="4"/>
        <v>0</v>
      </c>
      <c r="R39" s="122">
        <f t="shared" si="5"/>
        <v>0</v>
      </c>
      <c r="S39" s="122">
        <f t="shared" si="6"/>
        <v>0</v>
      </c>
      <c r="T39" s="122">
        <f t="shared" si="7"/>
        <v>0</v>
      </c>
      <c r="U39" s="122">
        <f t="shared" si="8"/>
        <v>0</v>
      </c>
      <c r="V39" s="30">
        <f t="shared" si="9"/>
        <v>0</v>
      </c>
      <c r="W39" s="30">
        <f t="shared" si="10"/>
        <v>0</v>
      </c>
      <c r="X39" s="30">
        <f t="shared" si="12"/>
        <v>0</v>
      </c>
      <c r="Y39" s="30">
        <f t="shared" si="12"/>
        <v>0</v>
      </c>
      <c r="Z39" s="2"/>
    </row>
    <row r="40" spans="1:26" ht="54.95" customHeight="1">
      <c r="A40" s="209">
        <v>37</v>
      </c>
      <c r="B40" s="232" t="s">
        <v>230</v>
      </c>
      <c r="C40" s="211">
        <v>6</v>
      </c>
      <c r="D40" s="212">
        <v>0</v>
      </c>
      <c r="E40" s="212">
        <v>1</v>
      </c>
      <c r="F40" s="212">
        <v>0</v>
      </c>
      <c r="G40" s="212">
        <v>0</v>
      </c>
      <c r="H40" s="212">
        <v>5</v>
      </c>
      <c r="I40" s="212">
        <v>4</v>
      </c>
      <c r="J40" s="213">
        <v>0</v>
      </c>
      <c r="K40" s="213">
        <v>0</v>
      </c>
      <c r="L40" s="244">
        <f t="shared" si="0"/>
        <v>0</v>
      </c>
      <c r="M40" s="245">
        <f t="shared" si="1"/>
        <v>0</v>
      </c>
      <c r="N40" s="122">
        <f t="shared" si="2"/>
        <v>0</v>
      </c>
      <c r="O40" s="122">
        <f t="shared" si="3"/>
        <v>0</v>
      </c>
      <c r="P40" s="122">
        <f t="shared" si="11"/>
        <v>0</v>
      </c>
      <c r="Q40" s="122">
        <f t="shared" si="4"/>
        <v>0</v>
      </c>
      <c r="R40" s="122">
        <f t="shared" si="5"/>
        <v>0</v>
      </c>
      <c r="S40" s="122">
        <f t="shared" si="6"/>
        <v>0</v>
      </c>
      <c r="T40" s="122">
        <f t="shared" si="7"/>
        <v>0</v>
      </c>
      <c r="U40" s="122">
        <f t="shared" si="8"/>
        <v>0</v>
      </c>
      <c r="V40" s="30">
        <f t="shared" si="9"/>
        <v>0</v>
      </c>
      <c r="W40" s="30">
        <f t="shared" si="10"/>
        <v>0</v>
      </c>
      <c r="X40" s="30">
        <f t="shared" si="12"/>
        <v>0</v>
      </c>
      <c r="Y40" s="30">
        <f t="shared" si="12"/>
        <v>0</v>
      </c>
      <c r="Z40" s="2"/>
    </row>
    <row r="41" spans="1:26" ht="54.95" customHeight="1">
      <c r="A41" s="209">
        <v>38</v>
      </c>
      <c r="B41" s="232" t="s">
        <v>231</v>
      </c>
      <c r="C41" s="211">
        <v>0.3</v>
      </c>
      <c r="D41" s="212">
        <v>0</v>
      </c>
      <c r="E41" s="212">
        <v>1</v>
      </c>
      <c r="F41" s="212">
        <v>0</v>
      </c>
      <c r="G41" s="212">
        <v>1</v>
      </c>
      <c r="H41" s="212">
        <v>5</v>
      </c>
      <c r="I41" s="212">
        <v>4</v>
      </c>
      <c r="J41" s="213">
        <v>0</v>
      </c>
      <c r="K41" s="213">
        <v>0</v>
      </c>
      <c r="L41" s="244">
        <f t="shared" si="0"/>
        <v>0</v>
      </c>
      <c r="M41" s="245">
        <f t="shared" si="1"/>
        <v>0</v>
      </c>
      <c r="N41" s="122">
        <f t="shared" si="2"/>
        <v>0</v>
      </c>
      <c r="O41" s="122">
        <f t="shared" si="3"/>
        <v>0</v>
      </c>
      <c r="P41" s="122">
        <f t="shared" si="11"/>
        <v>0</v>
      </c>
      <c r="Q41" s="122">
        <f t="shared" si="4"/>
        <v>0</v>
      </c>
      <c r="R41" s="122">
        <f t="shared" si="5"/>
        <v>0</v>
      </c>
      <c r="S41" s="122">
        <f t="shared" si="6"/>
        <v>0</v>
      </c>
      <c r="T41" s="122">
        <f t="shared" si="7"/>
        <v>0</v>
      </c>
      <c r="U41" s="122">
        <f t="shared" si="8"/>
        <v>0</v>
      </c>
      <c r="V41" s="30">
        <f t="shared" si="9"/>
        <v>0</v>
      </c>
      <c r="W41" s="30">
        <f t="shared" si="10"/>
        <v>0</v>
      </c>
      <c r="X41" s="30">
        <f t="shared" si="12"/>
        <v>0</v>
      </c>
      <c r="Y41" s="30">
        <f t="shared" si="12"/>
        <v>0</v>
      </c>
      <c r="Z41" s="2"/>
    </row>
    <row r="42" spans="1:26" ht="54.95" customHeight="1">
      <c r="A42" s="209">
        <v>39</v>
      </c>
      <c r="B42" s="232" t="s">
        <v>232</v>
      </c>
      <c r="C42" s="211">
        <v>4</v>
      </c>
      <c r="D42" s="212">
        <v>0</v>
      </c>
      <c r="E42" s="212">
        <v>1</v>
      </c>
      <c r="F42" s="212">
        <v>0</v>
      </c>
      <c r="G42" s="212">
        <v>1</v>
      </c>
      <c r="H42" s="212">
        <v>5</v>
      </c>
      <c r="I42" s="212">
        <v>4</v>
      </c>
      <c r="J42" s="213">
        <v>0</v>
      </c>
      <c r="K42" s="213">
        <v>0</v>
      </c>
      <c r="L42" s="244">
        <f t="shared" si="0"/>
        <v>0</v>
      </c>
      <c r="M42" s="245">
        <f t="shared" si="1"/>
        <v>0</v>
      </c>
      <c r="N42" s="122">
        <f t="shared" si="2"/>
        <v>0</v>
      </c>
      <c r="O42" s="122">
        <f t="shared" si="3"/>
        <v>0</v>
      </c>
      <c r="P42" s="122">
        <f t="shared" si="11"/>
        <v>0</v>
      </c>
      <c r="Q42" s="122">
        <f t="shared" si="4"/>
        <v>0</v>
      </c>
      <c r="R42" s="122">
        <f t="shared" si="5"/>
        <v>0</v>
      </c>
      <c r="S42" s="122">
        <f t="shared" si="6"/>
        <v>0</v>
      </c>
      <c r="T42" s="122">
        <f t="shared" si="7"/>
        <v>0</v>
      </c>
      <c r="U42" s="122">
        <f t="shared" si="8"/>
        <v>0</v>
      </c>
      <c r="V42" s="30">
        <f t="shared" si="9"/>
        <v>0</v>
      </c>
      <c r="W42" s="30">
        <f t="shared" si="10"/>
        <v>0</v>
      </c>
      <c r="X42" s="30">
        <f t="shared" si="12"/>
        <v>0</v>
      </c>
      <c r="Y42" s="30">
        <f t="shared" si="12"/>
        <v>0</v>
      </c>
      <c r="Z42" s="2"/>
    </row>
    <row r="43" spans="1:26" ht="54.95" customHeight="1">
      <c r="A43" s="209">
        <v>40</v>
      </c>
      <c r="B43" s="232" t="s">
        <v>233</v>
      </c>
      <c r="C43" s="211">
        <v>6</v>
      </c>
      <c r="D43" s="212">
        <v>0</v>
      </c>
      <c r="E43" s="212">
        <v>0</v>
      </c>
      <c r="F43" s="212">
        <v>0</v>
      </c>
      <c r="G43" s="212">
        <v>1</v>
      </c>
      <c r="H43" s="212">
        <v>1</v>
      </c>
      <c r="I43" s="212">
        <v>4</v>
      </c>
      <c r="J43" s="213">
        <v>0</v>
      </c>
      <c r="K43" s="213">
        <v>0</v>
      </c>
      <c r="L43" s="246">
        <f t="shared" si="0"/>
        <v>0</v>
      </c>
      <c r="M43" s="247">
        <f t="shared" si="1"/>
        <v>0</v>
      </c>
      <c r="N43" s="122">
        <f t="shared" si="2"/>
        <v>0</v>
      </c>
      <c r="O43" s="122">
        <f t="shared" si="3"/>
        <v>0</v>
      </c>
      <c r="P43" s="122">
        <f t="shared" si="11"/>
        <v>0</v>
      </c>
      <c r="Q43" s="122">
        <f t="shared" si="4"/>
        <v>0</v>
      </c>
      <c r="R43" s="122">
        <f t="shared" si="5"/>
        <v>0</v>
      </c>
      <c r="S43" s="122">
        <f t="shared" si="6"/>
        <v>0</v>
      </c>
      <c r="T43" s="122">
        <f t="shared" si="7"/>
        <v>0</v>
      </c>
      <c r="U43" s="122">
        <f t="shared" si="8"/>
        <v>0</v>
      </c>
      <c r="V43" s="30">
        <f t="shared" si="9"/>
        <v>0</v>
      </c>
      <c r="W43" s="30">
        <f t="shared" si="10"/>
        <v>0</v>
      </c>
      <c r="X43" s="30">
        <f t="shared" si="12"/>
        <v>0</v>
      </c>
      <c r="Y43" s="30">
        <f t="shared" si="12"/>
        <v>0</v>
      </c>
    </row>
    <row r="44" spans="1:26" ht="54.95" customHeight="1">
      <c r="A44" s="209">
        <v>41</v>
      </c>
      <c r="B44" s="232" t="s">
        <v>234</v>
      </c>
      <c r="C44" s="211">
        <v>24</v>
      </c>
      <c r="D44" s="212">
        <v>0</v>
      </c>
      <c r="E44" s="212">
        <v>0</v>
      </c>
      <c r="F44" s="212">
        <v>1</v>
      </c>
      <c r="G44" s="212">
        <v>2</v>
      </c>
      <c r="H44" s="212">
        <v>1</v>
      </c>
      <c r="I44" s="212">
        <v>4</v>
      </c>
      <c r="J44" s="213">
        <v>0</v>
      </c>
      <c r="K44" s="213">
        <v>0</v>
      </c>
      <c r="L44" s="246">
        <f t="shared" si="0"/>
        <v>0</v>
      </c>
      <c r="M44" s="247">
        <f t="shared" si="1"/>
        <v>0</v>
      </c>
      <c r="N44" s="122">
        <f t="shared" si="2"/>
        <v>0</v>
      </c>
      <c r="O44" s="122">
        <f t="shared" si="3"/>
        <v>0</v>
      </c>
      <c r="P44" s="122">
        <f t="shared" si="11"/>
        <v>0</v>
      </c>
      <c r="Q44" s="122">
        <f t="shared" si="4"/>
        <v>0</v>
      </c>
      <c r="R44" s="122">
        <f t="shared" si="5"/>
        <v>0</v>
      </c>
      <c r="S44" s="122">
        <f t="shared" si="6"/>
        <v>0</v>
      </c>
      <c r="T44" s="122">
        <f t="shared" si="7"/>
        <v>0</v>
      </c>
      <c r="U44" s="122">
        <f t="shared" si="8"/>
        <v>0</v>
      </c>
      <c r="V44" s="30">
        <f t="shared" si="9"/>
        <v>0</v>
      </c>
      <c r="W44" s="30">
        <f t="shared" si="10"/>
        <v>0</v>
      </c>
      <c r="X44" s="30">
        <f t="shared" si="12"/>
        <v>0</v>
      </c>
      <c r="Y44" s="30">
        <f t="shared" si="12"/>
        <v>0</v>
      </c>
    </row>
    <row r="45" spans="1:26" ht="54.95" customHeight="1">
      <c r="A45" s="209">
        <v>42</v>
      </c>
      <c r="B45" s="232" t="s">
        <v>235</v>
      </c>
      <c r="C45" s="211">
        <v>2.5</v>
      </c>
      <c r="D45" s="212">
        <v>0</v>
      </c>
      <c r="E45" s="212">
        <v>0</v>
      </c>
      <c r="F45" s="212">
        <v>0</v>
      </c>
      <c r="G45" s="212">
        <v>1</v>
      </c>
      <c r="H45" s="212">
        <v>1</v>
      </c>
      <c r="I45" s="212">
        <v>4</v>
      </c>
      <c r="J45" s="213">
        <v>0</v>
      </c>
      <c r="K45" s="213">
        <v>0</v>
      </c>
      <c r="L45" s="246">
        <f t="shared" si="0"/>
        <v>0</v>
      </c>
      <c r="M45" s="247">
        <f t="shared" si="1"/>
        <v>0</v>
      </c>
      <c r="N45" s="122">
        <f t="shared" si="2"/>
        <v>0</v>
      </c>
      <c r="O45" s="122">
        <f t="shared" si="3"/>
        <v>0</v>
      </c>
      <c r="P45" s="122">
        <f t="shared" si="11"/>
        <v>0</v>
      </c>
      <c r="Q45" s="122">
        <f t="shared" si="4"/>
        <v>0</v>
      </c>
      <c r="R45" s="122">
        <f t="shared" si="5"/>
        <v>0</v>
      </c>
      <c r="S45" s="122">
        <f t="shared" si="6"/>
        <v>0</v>
      </c>
      <c r="T45" s="122">
        <f t="shared" si="7"/>
        <v>0</v>
      </c>
      <c r="U45" s="122">
        <f t="shared" si="8"/>
        <v>0</v>
      </c>
      <c r="V45" s="30">
        <f t="shared" si="9"/>
        <v>0</v>
      </c>
      <c r="W45" s="30">
        <f t="shared" si="10"/>
        <v>0</v>
      </c>
      <c r="X45" s="30">
        <f t="shared" si="12"/>
        <v>0</v>
      </c>
      <c r="Y45" s="30">
        <f t="shared" si="12"/>
        <v>0</v>
      </c>
    </row>
    <row r="46" spans="1:26" s="130" customFormat="1" ht="54.95" customHeight="1">
      <c r="A46" s="209">
        <v>43</v>
      </c>
      <c r="B46" s="232" t="s">
        <v>236</v>
      </c>
      <c r="C46" s="211">
        <v>3</v>
      </c>
      <c r="D46" s="212">
        <v>0</v>
      </c>
      <c r="E46" s="212">
        <v>0</v>
      </c>
      <c r="F46" s="212">
        <v>0</v>
      </c>
      <c r="G46" s="212">
        <v>1</v>
      </c>
      <c r="H46" s="212">
        <v>1</v>
      </c>
      <c r="I46" s="212">
        <v>4</v>
      </c>
      <c r="J46" s="213">
        <v>0</v>
      </c>
      <c r="K46" s="213">
        <v>0</v>
      </c>
      <c r="L46" s="246">
        <f t="shared" si="0"/>
        <v>0</v>
      </c>
      <c r="M46" s="247">
        <f t="shared" si="1"/>
        <v>0</v>
      </c>
      <c r="N46" s="122">
        <f t="shared" si="2"/>
        <v>0</v>
      </c>
      <c r="O46" s="122">
        <f t="shared" si="3"/>
        <v>0</v>
      </c>
      <c r="P46" s="122">
        <f t="shared" si="11"/>
        <v>0</v>
      </c>
      <c r="Q46" s="122">
        <f t="shared" si="4"/>
        <v>0</v>
      </c>
      <c r="R46" s="122">
        <f t="shared" si="5"/>
        <v>0</v>
      </c>
      <c r="S46" s="122">
        <f t="shared" si="6"/>
        <v>0</v>
      </c>
      <c r="T46" s="122">
        <f t="shared" si="7"/>
        <v>0</v>
      </c>
      <c r="U46" s="122">
        <f t="shared" si="8"/>
        <v>0</v>
      </c>
      <c r="V46" s="30">
        <f t="shared" si="9"/>
        <v>0</v>
      </c>
      <c r="W46" s="30">
        <f t="shared" si="10"/>
        <v>0</v>
      </c>
      <c r="X46" s="30">
        <f t="shared" si="12"/>
        <v>0</v>
      </c>
      <c r="Y46" s="30">
        <f t="shared" si="12"/>
        <v>0</v>
      </c>
      <c r="Z46" s="121"/>
    </row>
    <row r="47" spans="1:26" ht="54.95" customHeight="1">
      <c r="A47" s="209">
        <v>44</v>
      </c>
      <c r="B47" s="232" t="s">
        <v>237</v>
      </c>
      <c r="C47" s="211">
        <v>2</v>
      </c>
      <c r="D47" s="212">
        <v>0</v>
      </c>
      <c r="E47" s="212">
        <v>1</v>
      </c>
      <c r="F47" s="212">
        <v>0</v>
      </c>
      <c r="G47" s="212">
        <v>1</v>
      </c>
      <c r="H47" s="212">
        <v>1</v>
      </c>
      <c r="I47" s="212">
        <v>1</v>
      </c>
      <c r="J47" s="213">
        <v>0</v>
      </c>
      <c r="K47" s="213">
        <v>0</v>
      </c>
      <c r="L47" s="246">
        <f t="shared" si="0"/>
        <v>0</v>
      </c>
      <c r="M47" s="247">
        <f t="shared" si="1"/>
        <v>0</v>
      </c>
      <c r="N47" s="122">
        <f t="shared" si="2"/>
        <v>0</v>
      </c>
      <c r="O47" s="122">
        <f t="shared" si="3"/>
        <v>0</v>
      </c>
      <c r="P47" s="122">
        <f t="shared" si="11"/>
        <v>0</v>
      </c>
      <c r="Q47" s="122">
        <f t="shared" si="4"/>
        <v>0</v>
      </c>
      <c r="R47" s="122">
        <f t="shared" si="5"/>
        <v>0</v>
      </c>
      <c r="S47" s="122">
        <f t="shared" si="6"/>
        <v>0</v>
      </c>
      <c r="T47" s="122">
        <f t="shared" si="7"/>
        <v>0</v>
      </c>
      <c r="U47" s="122">
        <f t="shared" si="8"/>
        <v>0</v>
      </c>
      <c r="V47" s="30">
        <f t="shared" si="9"/>
        <v>0</v>
      </c>
      <c r="W47" s="30">
        <f t="shared" si="10"/>
        <v>0</v>
      </c>
      <c r="X47" s="30">
        <f t="shared" si="12"/>
        <v>0</v>
      </c>
      <c r="Y47" s="30">
        <f t="shared" si="12"/>
        <v>0</v>
      </c>
    </row>
    <row r="48" spans="1:26" s="130" customFormat="1" ht="54.95" customHeight="1">
      <c r="A48" s="209">
        <v>45</v>
      </c>
      <c r="B48" s="232" t="s">
        <v>238</v>
      </c>
      <c r="C48" s="211">
        <v>6</v>
      </c>
      <c r="D48" s="212">
        <v>0</v>
      </c>
      <c r="E48" s="212">
        <v>1</v>
      </c>
      <c r="F48" s="212">
        <v>0</v>
      </c>
      <c r="G48" s="212">
        <v>1</v>
      </c>
      <c r="H48" s="212">
        <v>1</v>
      </c>
      <c r="I48" s="212">
        <v>1</v>
      </c>
      <c r="J48" s="213">
        <v>0</v>
      </c>
      <c r="K48" s="213">
        <v>0</v>
      </c>
      <c r="L48" s="246">
        <f t="shared" si="0"/>
        <v>0</v>
      </c>
      <c r="M48" s="247">
        <f t="shared" si="1"/>
        <v>0</v>
      </c>
      <c r="N48" s="122">
        <f t="shared" si="2"/>
        <v>0</v>
      </c>
      <c r="O48" s="122">
        <f t="shared" si="3"/>
        <v>0</v>
      </c>
      <c r="P48" s="122">
        <f t="shared" si="11"/>
        <v>0</v>
      </c>
      <c r="Q48" s="122">
        <f t="shared" si="4"/>
        <v>0</v>
      </c>
      <c r="R48" s="122">
        <f t="shared" si="5"/>
        <v>0</v>
      </c>
      <c r="S48" s="122">
        <f t="shared" si="6"/>
        <v>0</v>
      </c>
      <c r="T48" s="122">
        <f t="shared" si="7"/>
        <v>0</v>
      </c>
      <c r="U48" s="122">
        <f t="shared" si="8"/>
        <v>0</v>
      </c>
      <c r="V48" s="30">
        <f t="shared" si="9"/>
        <v>0</v>
      </c>
      <c r="W48" s="30">
        <f t="shared" si="10"/>
        <v>0</v>
      </c>
      <c r="X48" s="30">
        <f t="shared" si="12"/>
        <v>0</v>
      </c>
      <c r="Y48" s="30">
        <f t="shared" si="12"/>
        <v>0</v>
      </c>
      <c r="Z48" s="121"/>
    </row>
    <row r="49" spans="1:26" ht="54.95" customHeight="1">
      <c r="A49" s="209">
        <v>46</v>
      </c>
      <c r="B49" s="232" t="s">
        <v>239</v>
      </c>
      <c r="C49" s="211">
        <v>1.7000000000000001E-2</v>
      </c>
      <c r="D49" s="212">
        <v>0</v>
      </c>
      <c r="E49" s="212">
        <v>0</v>
      </c>
      <c r="F49" s="212">
        <v>0</v>
      </c>
      <c r="G49" s="212">
        <v>1</v>
      </c>
      <c r="H49" s="212">
        <v>1</v>
      </c>
      <c r="I49" s="212">
        <v>4</v>
      </c>
      <c r="J49" s="213">
        <v>0</v>
      </c>
      <c r="K49" s="213">
        <v>0</v>
      </c>
      <c r="L49" s="246">
        <f t="shared" si="0"/>
        <v>0</v>
      </c>
      <c r="M49" s="247">
        <f t="shared" si="1"/>
        <v>0</v>
      </c>
      <c r="N49" s="122">
        <f t="shared" si="2"/>
        <v>0</v>
      </c>
      <c r="O49" s="122">
        <f t="shared" si="3"/>
        <v>0</v>
      </c>
      <c r="P49" s="122">
        <f t="shared" si="11"/>
        <v>0</v>
      </c>
      <c r="Q49" s="122">
        <f t="shared" si="4"/>
        <v>0</v>
      </c>
      <c r="R49" s="122">
        <f t="shared" si="5"/>
        <v>0</v>
      </c>
      <c r="S49" s="122">
        <f t="shared" si="6"/>
        <v>0</v>
      </c>
      <c r="T49" s="122">
        <f t="shared" si="7"/>
        <v>0</v>
      </c>
      <c r="U49" s="122">
        <f t="shared" si="8"/>
        <v>0</v>
      </c>
      <c r="V49" s="30">
        <f t="shared" si="9"/>
        <v>0</v>
      </c>
      <c r="W49" s="30">
        <f t="shared" si="10"/>
        <v>0</v>
      </c>
      <c r="X49" s="30">
        <f t="shared" si="12"/>
        <v>0</v>
      </c>
      <c r="Y49" s="30">
        <f t="shared" si="12"/>
        <v>0</v>
      </c>
    </row>
    <row r="50" spans="1:26" ht="54.95" customHeight="1">
      <c r="A50" s="209">
        <v>47</v>
      </c>
      <c r="B50" s="232" t="s">
        <v>240</v>
      </c>
      <c r="C50" s="211">
        <v>2E-3</v>
      </c>
      <c r="D50" s="212">
        <v>0</v>
      </c>
      <c r="E50" s="212">
        <v>0</v>
      </c>
      <c r="F50" s="212">
        <v>0</v>
      </c>
      <c r="G50" s="212">
        <v>1</v>
      </c>
      <c r="H50" s="212">
        <v>5</v>
      </c>
      <c r="I50" s="212">
        <v>4</v>
      </c>
      <c r="J50" s="213">
        <v>0</v>
      </c>
      <c r="K50" s="213">
        <v>0</v>
      </c>
      <c r="L50" s="246">
        <f t="shared" si="0"/>
        <v>0</v>
      </c>
      <c r="M50" s="247">
        <f t="shared" si="1"/>
        <v>0</v>
      </c>
      <c r="N50" s="122">
        <f t="shared" si="2"/>
        <v>0</v>
      </c>
      <c r="O50" s="122">
        <f t="shared" si="3"/>
        <v>0</v>
      </c>
      <c r="P50" s="122">
        <f t="shared" si="11"/>
        <v>0</v>
      </c>
      <c r="Q50" s="122">
        <f t="shared" si="4"/>
        <v>0</v>
      </c>
      <c r="R50" s="122">
        <f t="shared" si="5"/>
        <v>0</v>
      </c>
      <c r="S50" s="122">
        <f t="shared" si="6"/>
        <v>0</v>
      </c>
      <c r="T50" s="122">
        <f t="shared" si="7"/>
        <v>0</v>
      </c>
      <c r="U50" s="122">
        <f t="shared" si="8"/>
        <v>0</v>
      </c>
      <c r="V50" s="30">
        <f t="shared" si="9"/>
        <v>0</v>
      </c>
      <c r="W50" s="30">
        <f t="shared" si="10"/>
        <v>0</v>
      </c>
      <c r="X50" s="30">
        <f t="shared" si="12"/>
        <v>0</v>
      </c>
      <c r="Y50" s="30">
        <f t="shared" si="12"/>
        <v>0</v>
      </c>
    </row>
    <row r="51" spans="1:26" ht="54.95" customHeight="1">
      <c r="A51" s="209">
        <v>48</v>
      </c>
      <c r="B51" s="232" t="s">
        <v>241</v>
      </c>
      <c r="C51" s="211">
        <v>5.6000000000000001E-2</v>
      </c>
      <c r="D51" s="212">
        <v>0</v>
      </c>
      <c r="E51" s="212">
        <v>0</v>
      </c>
      <c r="F51" s="212">
        <v>0</v>
      </c>
      <c r="G51" s="212">
        <v>1</v>
      </c>
      <c r="H51" s="212">
        <v>1</v>
      </c>
      <c r="I51" s="212">
        <v>4</v>
      </c>
      <c r="J51" s="213">
        <v>0</v>
      </c>
      <c r="K51" s="213">
        <v>0</v>
      </c>
      <c r="L51" s="246">
        <f>(((J51*C51)/$A$2)*D51)+(((J51*C51)/$A$2)*E51)+(((J51*C51)/$A$2)*F51)+(((J51*C51)/$A$2)*G51)</f>
        <v>0</v>
      </c>
      <c r="M51" s="247">
        <f>(((K51*C51)/$A$2)*D51)+(((K51*C51)/$A$2)*E51)+(((K51*C51)/$A$2)*F51)+(((K51*C51)/$A$2)*G51)</f>
        <v>0</v>
      </c>
      <c r="N51" s="122">
        <f t="shared" si="2"/>
        <v>0</v>
      </c>
      <c r="O51" s="122">
        <f t="shared" si="3"/>
        <v>0</v>
      </c>
      <c r="P51" s="122">
        <f t="shared" si="11"/>
        <v>0</v>
      </c>
      <c r="Q51" s="122">
        <f t="shared" si="4"/>
        <v>0</v>
      </c>
      <c r="R51" s="122">
        <f t="shared" si="5"/>
        <v>0</v>
      </c>
      <c r="S51" s="122">
        <f t="shared" si="6"/>
        <v>0</v>
      </c>
      <c r="T51" s="122">
        <f t="shared" si="7"/>
        <v>0</v>
      </c>
      <c r="U51" s="122">
        <f t="shared" si="8"/>
        <v>0</v>
      </c>
      <c r="V51" s="30">
        <f t="shared" si="9"/>
        <v>0</v>
      </c>
      <c r="W51" s="30">
        <f t="shared" si="10"/>
        <v>0</v>
      </c>
      <c r="X51" s="30">
        <f t="shared" si="12"/>
        <v>0</v>
      </c>
      <c r="Y51" s="30">
        <f t="shared" si="12"/>
        <v>0</v>
      </c>
    </row>
    <row r="52" spans="1:26" ht="54.95" customHeight="1">
      <c r="A52" s="209">
        <v>49</v>
      </c>
      <c r="B52" s="232" t="s">
        <v>242</v>
      </c>
      <c r="C52" s="211">
        <v>0.112</v>
      </c>
      <c r="D52" s="212">
        <v>0</v>
      </c>
      <c r="E52" s="212">
        <v>0</v>
      </c>
      <c r="F52" s="212">
        <v>0</v>
      </c>
      <c r="G52" s="212">
        <v>1</v>
      </c>
      <c r="H52" s="212">
        <v>1</v>
      </c>
      <c r="I52" s="212">
        <v>4</v>
      </c>
      <c r="J52" s="213">
        <v>0</v>
      </c>
      <c r="K52" s="213">
        <v>0</v>
      </c>
      <c r="L52" s="246">
        <f>(((J52*C52)/$A$2)*D52)+(((J52*C52)/$A$2)*E52)+(((J52*C52)/$A$2)*F52)+(((J52*C52)/$A$2)*G52)</f>
        <v>0</v>
      </c>
      <c r="M52" s="247">
        <f>(((K52*C52)/$A$2)*D52)+(((K52*C52)/$A$2)*E52)+(((K52*C52)/$A$2)*F52)+(((K52*C52)/$A$2)*G52)</f>
        <v>0</v>
      </c>
      <c r="N52" s="122">
        <f t="shared" si="2"/>
        <v>0</v>
      </c>
      <c r="O52" s="122">
        <f t="shared" si="3"/>
        <v>0</v>
      </c>
      <c r="P52" s="122">
        <f t="shared" si="11"/>
        <v>0</v>
      </c>
      <c r="Q52" s="122">
        <f t="shared" si="4"/>
        <v>0</v>
      </c>
      <c r="R52" s="122">
        <f t="shared" si="5"/>
        <v>0</v>
      </c>
      <c r="S52" s="122">
        <f t="shared" si="6"/>
        <v>0</v>
      </c>
      <c r="T52" s="122">
        <f t="shared" si="7"/>
        <v>0</v>
      </c>
      <c r="U52" s="122">
        <f t="shared" si="8"/>
        <v>0</v>
      </c>
      <c r="V52" s="30">
        <f t="shared" si="9"/>
        <v>0</v>
      </c>
      <c r="W52" s="30">
        <f t="shared" si="10"/>
        <v>0</v>
      </c>
      <c r="X52" s="30">
        <f t="shared" si="12"/>
        <v>0</v>
      </c>
      <c r="Y52" s="30">
        <f t="shared" si="12"/>
        <v>0</v>
      </c>
    </row>
    <row r="53" spans="1:26" ht="54.95" customHeight="1">
      <c r="A53" s="209">
        <v>50</v>
      </c>
      <c r="B53" s="232" t="s">
        <v>243</v>
      </c>
      <c r="C53" s="211">
        <v>6</v>
      </c>
      <c r="D53" s="212">
        <v>0</v>
      </c>
      <c r="E53" s="212">
        <v>1</v>
      </c>
      <c r="F53" s="212">
        <v>0</v>
      </c>
      <c r="G53" s="212">
        <v>1</v>
      </c>
      <c r="H53" s="212">
        <v>5</v>
      </c>
      <c r="I53" s="212">
        <v>4</v>
      </c>
      <c r="J53" s="213">
        <v>0</v>
      </c>
      <c r="K53" s="213">
        <v>0</v>
      </c>
      <c r="L53" s="246">
        <f t="shared" si="0"/>
        <v>0</v>
      </c>
      <c r="M53" s="247">
        <f t="shared" si="1"/>
        <v>0</v>
      </c>
      <c r="N53" s="122">
        <f t="shared" si="2"/>
        <v>0</v>
      </c>
      <c r="O53" s="122">
        <f t="shared" si="3"/>
        <v>0</v>
      </c>
      <c r="P53" s="122">
        <f t="shared" si="11"/>
        <v>0</v>
      </c>
      <c r="Q53" s="122">
        <f t="shared" si="4"/>
        <v>0</v>
      </c>
      <c r="R53" s="122">
        <f t="shared" si="5"/>
        <v>0</v>
      </c>
      <c r="S53" s="122">
        <f t="shared" si="6"/>
        <v>0</v>
      </c>
      <c r="T53" s="122">
        <f t="shared" si="7"/>
        <v>0</v>
      </c>
      <c r="U53" s="122">
        <f t="shared" si="8"/>
        <v>0</v>
      </c>
      <c r="V53" s="30">
        <f t="shared" si="9"/>
        <v>0</v>
      </c>
      <c r="W53" s="30">
        <f t="shared" si="10"/>
        <v>0</v>
      </c>
      <c r="X53" s="30">
        <f t="shared" si="12"/>
        <v>0</v>
      </c>
      <c r="Y53" s="30">
        <f t="shared" si="12"/>
        <v>0</v>
      </c>
    </row>
    <row r="54" spans="1:26" ht="54.95" customHeight="1">
      <c r="A54" s="209">
        <v>51</v>
      </c>
      <c r="B54" s="232" t="s">
        <v>244</v>
      </c>
      <c r="C54" s="211">
        <v>6</v>
      </c>
      <c r="D54" s="212">
        <v>0</v>
      </c>
      <c r="E54" s="212">
        <v>1</v>
      </c>
      <c r="F54" s="212">
        <v>0</v>
      </c>
      <c r="G54" s="212">
        <v>1</v>
      </c>
      <c r="H54" s="212">
        <v>5</v>
      </c>
      <c r="I54" s="212">
        <v>4</v>
      </c>
      <c r="J54" s="213">
        <v>0</v>
      </c>
      <c r="K54" s="213">
        <v>0</v>
      </c>
      <c r="L54" s="244">
        <f t="shared" si="0"/>
        <v>0</v>
      </c>
      <c r="M54" s="245">
        <f t="shared" si="1"/>
        <v>0</v>
      </c>
      <c r="N54" s="122">
        <f t="shared" si="2"/>
        <v>0</v>
      </c>
      <c r="O54" s="122">
        <f t="shared" si="3"/>
        <v>0</v>
      </c>
      <c r="P54" s="122">
        <f t="shared" si="11"/>
        <v>0</v>
      </c>
      <c r="Q54" s="122">
        <f t="shared" si="4"/>
        <v>0</v>
      </c>
      <c r="R54" s="122">
        <f t="shared" si="5"/>
        <v>0</v>
      </c>
      <c r="S54" s="122">
        <f t="shared" si="6"/>
        <v>0</v>
      </c>
      <c r="T54" s="122">
        <f t="shared" si="7"/>
        <v>0</v>
      </c>
      <c r="U54" s="122">
        <f t="shared" si="8"/>
        <v>0</v>
      </c>
      <c r="V54" s="30">
        <f t="shared" si="9"/>
        <v>0</v>
      </c>
      <c r="W54" s="30">
        <f t="shared" si="10"/>
        <v>0</v>
      </c>
      <c r="X54" s="30">
        <f t="shared" si="12"/>
        <v>0</v>
      </c>
      <c r="Y54" s="30">
        <f t="shared" si="12"/>
        <v>0</v>
      </c>
      <c r="Z54" s="2"/>
    </row>
    <row r="55" spans="1:26" ht="54.95" customHeight="1">
      <c r="A55" s="209">
        <v>52</v>
      </c>
      <c r="B55" s="232" t="s">
        <v>245</v>
      </c>
      <c r="C55" s="211">
        <v>1.1999999999999999E-3</v>
      </c>
      <c r="D55" s="212">
        <v>0</v>
      </c>
      <c r="E55" s="212">
        <v>0</v>
      </c>
      <c r="F55" s="212">
        <v>0</v>
      </c>
      <c r="G55" s="212">
        <v>1</v>
      </c>
      <c r="H55" s="212">
        <v>1</v>
      </c>
      <c r="I55" s="212">
        <v>4</v>
      </c>
      <c r="J55" s="213">
        <v>0</v>
      </c>
      <c r="K55" s="213">
        <v>0</v>
      </c>
      <c r="L55" s="244">
        <f t="shared" si="0"/>
        <v>0</v>
      </c>
      <c r="M55" s="245">
        <f t="shared" si="1"/>
        <v>0</v>
      </c>
      <c r="N55" s="122">
        <f t="shared" si="2"/>
        <v>0</v>
      </c>
      <c r="O55" s="122">
        <f t="shared" si="3"/>
        <v>0</v>
      </c>
      <c r="P55" s="122">
        <f t="shared" si="11"/>
        <v>0</v>
      </c>
      <c r="Q55" s="122">
        <f t="shared" si="4"/>
        <v>0</v>
      </c>
      <c r="R55" s="122">
        <f t="shared" si="5"/>
        <v>0</v>
      </c>
      <c r="S55" s="122">
        <f t="shared" si="6"/>
        <v>0</v>
      </c>
      <c r="T55" s="122">
        <f t="shared" si="7"/>
        <v>0</v>
      </c>
      <c r="U55" s="122">
        <f t="shared" si="8"/>
        <v>0</v>
      </c>
      <c r="V55" s="30">
        <f t="shared" si="9"/>
        <v>0</v>
      </c>
      <c r="W55" s="30">
        <f t="shared" si="10"/>
        <v>0</v>
      </c>
      <c r="X55" s="30">
        <f t="shared" si="12"/>
        <v>0</v>
      </c>
      <c r="Y55" s="30">
        <f t="shared" si="12"/>
        <v>0</v>
      </c>
      <c r="Z55" s="2"/>
    </row>
    <row r="56" spans="1:26" ht="54.95" customHeight="1">
      <c r="A56" s="209">
        <v>53</v>
      </c>
      <c r="B56" s="232" t="s">
        <v>246</v>
      </c>
      <c r="C56" s="211">
        <v>6.0000000000000001E-3</v>
      </c>
      <c r="D56" s="212">
        <v>0</v>
      </c>
      <c r="E56" s="212">
        <v>0</v>
      </c>
      <c r="F56" s="212">
        <v>0</v>
      </c>
      <c r="G56" s="212">
        <v>1</v>
      </c>
      <c r="H56" s="212">
        <v>1</v>
      </c>
      <c r="I56" s="212">
        <v>4</v>
      </c>
      <c r="J56" s="213">
        <v>0</v>
      </c>
      <c r="K56" s="213">
        <v>0</v>
      </c>
      <c r="L56" s="244">
        <f t="shared" si="0"/>
        <v>0</v>
      </c>
      <c r="M56" s="245">
        <f t="shared" si="1"/>
        <v>0</v>
      </c>
      <c r="N56" s="122">
        <f t="shared" si="2"/>
        <v>0</v>
      </c>
      <c r="O56" s="122">
        <f t="shared" si="3"/>
        <v>0</v>
      </c>
      <c r="P56" s="122">
        <f t="shared" si="11"/>
        <v>0</v>
      </c>
      <c r="Q56" s="122">
        <f t="shared" si="4"/>
        <v>0</v>
      </c>
      <c r="R56" s="122">
        <f t="shared" si="5"/>
        <v>0</v>
      </c>
      <c r="S56" s="122">
        <f t="shared" si="6"/>
        <v>0</v>
      </c>
      <c r="T56" s="122">
        <f t="shared" si="7"/>
        <v>0</v>
      </c>
      <c r="U56" s="122">
        <f t="shared" si="8"/>
        <v>0</v>
      </c>
      <c r="V56" s="30">
        <f t="shared" si="9"/>
        <v>0</v>
      </c>
      <c r="W56" s="30">
        <f t="shared" si="10"/>
        <v>0</v>
      </c>
      <c r="X56" s="30">
        <f t="shared" si="12"/>
        <v>0</v>
      </c>
      <c r="Y56" s="30">
        <f t="shared" si="12"/>
        <v>0</v>
      </c>
      <c r="Z56" s="2"/>
    </row>
    <row r="57" spans="1:26" ht="54.95" customHeight="1">
      <c r="A57" s="209">
        <v>54</v>
      </c>
      <c r="B57" s="232" t="s">
        <v>247</v>
      </c>
      <c r="C57" s="211">
        <v>8.0000000000000002E-3</v>
      </c>
      <c r="D57" s="212">
        <v>0</v>
      </c>
      <c r="E57" s="212">
        <v>0</v>
      </c>
      <c r="F57" s="212">
        <v>0</v>
      </c>
      <c r="G57" s="212">
        <v>1</v>
      </c>
      <c r="H57" s="212">
        <v>1</v>
      </c>
      <c r="I57" s="212">
        <v>4</v>
      </c>
      <c r="J57" s="213">
        <v>0</v>
      </c>
      <c r="K57" s="213">
        <v>0</v>
      </c>
      <c r="L57" s="244">
        <f t="shared" si="0"/>
        <v>0</v>
      </c>
      <c r="M57" s="245">
        <f t="shared" si="1"/>
        <v>0</v>
      </c>
      <c r="N57" s="122">
        <f t="shared" si="2"/>
        <v>0</v>
      </c>
      <c r="O57" s="122">
        <f t="shared" si="3"/>
        <v>0</v>
      </c>
      <c r="P57" s="122">
        <f t="shared" si="11"/>
        <v>0</v>
      </c>
      <c r="Q57" s="122">
        <f t="shared" si="4"/>
        <v>0</v>
      </c>
      <c r="R57" s="122">
        <f t="shared" si="5"/>
        <v>0</v>
      </c>
      <c r="S57" s="122">
        <f t="shared" si="6"/>
        <v>0</v>
      </c>
      <c r="T57" s="122">
        <f t="shared" si="7"/>
        <v>0</v>
      </c>
      <c r="U57" s="122">
        <f t="shared" si="8"/>
        <v>0</v>
      </c>
      <c r="V57" s="30">
        <f t="shared" si="9"/>
        <v>0</v>
      </c>
      <c r="W57" s="30">
        <f t="shared" si="10"/>
        <v>0</v>
      </c>
      <c r="X57" s="30">
        <f t="shared" si="12"/>
        <v>0</v>
      </c>
      <c r="Y57" s="30">
        <f t="shared" si="12"/>
        <v>0</v>
      </c>
      <c r="Z57" s="2"/>
    </row>
    <row r="58" spans="1:26" ht="54.95" customHeight="1">
      <c r="A58" s="209">
        <v>55</v>
      </c>
      <c r="B58" s="232" t="s">
        <v>1352</v>
      </c>
      <c r="C58" s="211">
        <v>2</v>
      </c>
      <c r="D58" s="212">
        <v>0</v>
      </c>
      <c r="E58" s="212">
        <v>1</v>
      </c>
      <c r="F58" s="212">
        <v>0</v>
      </c>
      <c r="G58" s="212">
        <v>0</v>
      </c>
      <c r="H58" s="212">
        <v>1</v>
      </c>
      <c r="I58" s="212">
        <v>2</v>
      </c>
      <c r="J58" s="213">
        <v>0</v>
      </c>
      <c r="K58" s="213">
        <v>0</v>
      </c>
      <c r="L58" s="244">
        <f t="shared" si="0"/>
        <v>0</v>
      </c>
      <c r="M58" s="245">
        <f t="shared" si="1"/>
        <v>0</v>
      </c>
      <c r="N58" s="122">
        <f t="shared" si="2"/>
        <v>0</v>
      </c>
      <c r="O58" s="122">
        <f t="shared" si="3"/>
        <v>0</v>
      </c>
      <c r="P58" s="122">
        <f t="shared" si="11"/>
        <v>0</v>
      </c>
      <c r="Q58" s="122">
        <f t="shared" si="4"/>
        <v>0</v>
      </c>
      <c r="R58" s="122">
        <f t="shared" si="5"/>
        <v>0</v>
      </c>
      <c r="S58" s="122">
        <f t="shared" si="6"/>
        <v>0</v>
      </c>
      <c r="T58" s="122">
        <f t="shared" si="7"/>
        <v>0</v>
      </c>
      <c r="U58" s="122">
        <f t="shared" si="8"/>
        <v>0</v>
      </c>
      <c r="V58" s="30">
        <f t="shared" si="9"/>
        <v>0</v>
      </c>
      <c r="W58" s="30">
        <f t="shared" si="10"/>
        <v>0</v>
      </c>
      <c r="X58" s="30">
        <f t="shared" si="12"/>
        <v>0</v>
      </c>
      <c r="Y58" s="30">
        <f t="shared" si="12"/>
        <v>0</v>
      </c>
      <c r="Z58" s="2"/>
    </row>
    <row r="59" spans="1:26" ht="54.95" customHeight="1">
      <c r="A59" s="377" t="s">
        <v>158</v>
      </c>
      <c r="B59" s="377"/>
      <c r="C59" s="378" t="s">
        <v>249</v>
      </c>
      <c r="D59" s="378"/>
      <c r="E59" s="378"/>
      <c r="F59" s="378"/>
      <c r="G59" s="378"/>
      <c r="H59" s="378"/>
      <c r="I59" s="378"/>
      <c r="J59" s="378"/>
      <c r="K59" s="378"/>
      <c r="L59" s="248">
        <f>SUM(L4:L58)</f>
        <v>0</v>
      </c>
      <c r="M59" s="249">
        <f>SUM(M4:M58)</f>
        <v>0</v>
      </c>
      <c r="N59" s="127">
        <f>SUM(N4:N58)</f>
        <v>0</v>
      </c>
      <c r="O59" s="127">
        <f t="shared" ref="O59:Y59" si="13">SUM(O4:O58)</f>
        <v>0</v>
      </c>
      <c r="P59" s="127">
        <f t="shared" si="13"/>
        <v>0</v>
      </c>
      <c r="Q59" s="127">
        <f t="shared" si="13"/>
        <v>0</v>
      </c>
      <c r="R59" s="127">
        <f t="shared" si="13"/>
        <v>0</v>
      </c>
      <c r="S59" s="127">
        <f t="shared" si="13"/>
        <v>0</v>
      </c>
      <c r="T59" s="127">
        <f t="shared" si="13"/>
        <v>0</v>
      </c>
      <c r="U59" s="127">
        <f t="shared" si="13"/>
        <v>0</v>
      </c>
      <c r="V59" s="127">
        <f t="shared" si="13"/>
        <v>0</v>
      </c>
      <c r="W59" s="127">
        <f t="shared" si="13"/>
        <v>0</v>
      </c>
      <c r="X59" s="127">
        <f t="shared" si="13"/>
        <v>0</v>
      </c>
      <c r="Y59" s="127">
        <f t="shared" si="13"/>
        <v>0</v>
      </c>
      <c r="Z59" s="2"/>
    </row>
    <row r="60" spans="1:26" ht="54.95" customHeight="1">
      <c r="A60" s="379" t="s">
        <v>160</v>
      </c>
      <c r="B60" s="379"/>
      <c r="C60" s="379"/>
      <c r="D60" s="379"/>
      <c r="E60" s="379"/>
      <c r="F60" s="379"/>
      <c r="G60" s="379"/>
      <c r="H60" s="379"/>
      <c r="I60" s="379"/>
      <c r="J60" s="379"/>
      <c r="K60" s="379"/>
      <c r="L60" s="379"/>
      <c r="M60" s="216">
        <v>2</v>
      </c>
      <c r="Z60" s="124"/>
    </row>
    <row r="61" spans="1:26" s="2" customFormat="1" ht="54.95" customHeight="1">
      <c r="A61" s="3"/>
      <c r="B61" s="3"/>
      <c r="C61" s="125"/>
      <c r="D61" s="126"/>
      <c r="E61" s="126"/>
      <c r="F61" s="126"/>
      <c r="G61" s="126"/>
      <c r="H61" s="126"/>
      <c r="I61" s="126"/>
      <c r="J61" s="3"/>
      <c r="K61" s="3"/>
      <c r="L61" s="3"/>
      <c r="N61" s="29"/>
      <c r="O61" s="29"/>
      <c r="P61" s="29"/>
      <c r="Q61" s="29"/>
      <c r="R61" s="29"/>
      <c r="S61" s="29"/>
      <c r="T61" s="29"/>
      <c r="U61" s="29"/>
      <c r="V61" s="29"/>
      <c r="W61" s="29"/>
      <c r="X61" s="30"/>
      <c r="Y61" s="30"/>
      <c r="Z61" s="121"/>
    </row>
    <row r="62" spans="1:26" s="2" customFormat="1" ht="54.95" customHeight="1">
      <c r="A62" s="3"/>
      <c r="B62" s="3"/>
      <c r="C62" s="125"/>
      <c r="D62" s="126"/>
      <c r="E62" s="126"/>
      <c r="F62" s="126"/>
      <c r="G62" s="126"/>
      <c r="H62" s="126"/>
      <c r="I62" s="126"/>
      <c r="J62" s="3"/>
      <c r="K62" s="3"/>
      <c r="L62" s="3"/>
      <c r="N62" s="29"/>
      <c r="O62" s="29"/>
      <c r="P62" s="29"/>
      <c r="Q62" s="29"/>
      <c r="R62" s="29"/>
      <c r="S62" s="29"/>
      <c r="T62" s="29"/>
      <c r="U62" s="29"/>
      <c r="V62" s="29"/>
      <c r="W62" s="29"/>
      <c r="X62" s="30"/>
      <c r="Y62" s="30"/>
      <c r="Z62" s="121"/>
    </row>
    <row r="63" spans="1:26" s="2" customFormat="1" ht="54.95" customHeight="1">
      <c r="A63" s="3"/>
      <c r="B63" s="3"/>
      <c r="C63" s="125"/>
      <c r="D63" s="126"/>
      <c r="E63" s="126"/>
      <c r="F63" s="126"/>
      <c r="G63" s="126"/>
      <c r="H63" s="126"/>
      <c r="I63" s="126"/>
      <c r="J63" s="3"/>
      <c r="K63" s="3"/>
      <c r="L63" s="3"/>
      <c r="N63" s="29"/>
      <c r="O63" s="29"/>
      <c r="P63" s="29"/>
      <c r="Q63" s="29"/>
      <c r="R63" s="29"/>
      <c r="S63" s="29"/>
      <c r="T63" s="29"/>
      <c r="U63" s="29"/>
      <c r="V63" s="29"/>
      <c r="W63" s="29"/>
      <c r="X63" s="30"/>
      <c r="Y63" s="30"/>
      <c r="Z63" s="121"/>
    </row>
    <row r="64" spans="1:26" s="2" customFormat="1" ht="54.95" customHeight="1">
      <c r="A64" s="3"/>
      <c r="B64" s="3"/>
      <c r="C64" s="125"/>
      <c r="D64" s="126"/>
      <c r="E64" s="126"/>
      <c r="F64" s="126"/>
      <c r="G64" s="126"/>
      <c r="H64" s="126"/>
      <c r="I64" s="126"/>
      <c r="J64" s="3"/>
      <c r="K64" s="3"/>
      <c r="L64" s="3"/>
      <c r="N64" s="29"/>
      <c r="O64" s="29"/>
      <c r="P64" s="29"/>
      <c r="Q64" s="29"/>
      <c r="R64" s="29"/>
      <c r="S64" s="29"/>
      <c r="T64" s="29"/>
      <c r="U64" s="29"/>
      <c r="V64" s="29"/>
      <c r="W64" s="29"/>
      <c r="X64" s="30"/>
      <c r="Y64" s="30"/>
      <c r="Z64" s="121"/>
    </row>
    <row r="65" spans="1:26" s="2" customFormat="1" ht="54.95" customHeight="1">
      <c r="A65" s="3"/>
      <c r="B65" s="3"/>
      <c r="C65" s="125"/>
      <c r="D65" s="126"/>
      <c r="E65" s="126"/>
      <c r="F65" s="126"/>
      <c r="G65" s="126"/>
      <c r="H65" s="126"/>
      <c r="I65" s="126"/>
      <c r="J65" s="3"/>
      <c r="K65" s="3"/>
      <c r="L65" s="3"/>
      <c r="N65" s="29"/>
      <c r="O65" s="29"/>
      <c r="P65" s="29"/>
      <c r="Q65" s="29"/>
      <c r="R65" s="29"/>
      <c r="S65" s="29"/>
      <c r="T65" s="29"/>
      <c r="U65" s="29"/>
      <c r="V65" s="29"/>
      <c r="W65" s="29"/>
      <c r="X65" s="30"/>
      <c r="Y65" s="30"/>
      <c r="Z65" s="121"/>
    </row>
    <row r="66" spans="1:26" s="2" customFormat="1" ht="54.95" customHeight="1">
      <c r="A66" s="3"/>
      <c r="B66" s="3"/>
      <c r="C66" s="125"/>
      <c r="D66" s="126"/>
      <c r="E66" s="126"/>
      <c r="F66" s="126"/>
      <c r="G66" s="126"/>
      <c r="H66" s="126"/>
      <c r="I66" s="126"/>
      <c r="J66" s="3"/>
      <c r="K66" s="3"/>
      <c r="L66" s="3"/>
      <c r="N66" s="29"/>
      <c r="O66" s="29"/>
      <c r="P66" s="29"/>
      <c r="Q66" s="29"/>
      <c r="R66" s="29"/>
      <c r="S66" s="29"/>
      <c r="T66" s="29"/>
      <c r="U66" s="29"/>
      <c r="V66" s="29"/>
      <c r="W66" s="29"/>
      <c r="X66" s="30"/>
      <c r="Y66" s="30"/>
      <c r="Z66" s="121"/>
    </row>
    <row r="67" spans="1:26" s="2" customFormat="1" ht="54.95" customHeight="1">
      <c r="A67" s="3"/>
      <c r="B67" s="3"/>
      <c r="C67" s="125"/>
      <c r="D67" s="126"/>
      <c r="E67" s="126"/>
      <c r="F67" s="126"/>
      <c r="G67" s="126"/>
      <c r="H67" s="126"/>
      <c r="I67" s="126"/>
      <c r="J67" s="3"/>
      <c r="K67" s="3"/>
      <c r="L67" s="3"/>
      <c r="N67" s="29"/>
      <c r="O67" s="29"/>
      <c r="P67" s="29"/>
      <c r="Q67" s="29"/>
      <c r="R67" s="29"/>
      <c r="S67" s="29"/>
      <c r="T67" s="29"/>
      <c r="U67" s="29"/>
      <c r="V67" s="29"/>
      <c r="W67" s="29"/>
      <c r="X67" s="30"/>
      <c r="Y67" s="30"/>
      <c r="Z67" s="121"/>
    </row>
    <row r="68" spans="1:26" s="2" customFormat="1" ht="54.95" customHeight="1">
      <c r="A68" s="3"/>
      <c r="B68" s="3"/>
      <c r="C68" s="125"/>
      <c r="D68" s="126"/>
      <c r="E68" s="126"/>
      <c r="F68" s="126"/>
      <c r="G68" s="126"/>
      <c r="H68" s="126"/>
      <c r="I68" s="126"/>
      <c r="J68" s="3"/>
      <c r="K68" s="3"/>
      <c r="L68" s="3"/>
      <c r="N68" s="29"/>
      <c r="O68" s="29"/>
      <c r="P68" s="29"/>
      <c r="Q68" s="29"/>
      <c r="R68" s="29"/>
      <c r="S68" s="29"/>
      <c r="T68" s="29"/>
      <c r="U68" s="29"/>
      <c r="V68" s="29"/>
      <c r="W68" s="29"/>
      <c r="X68" s="30"/>
      <c r="Y68" s="30"/>
      <c r="Z68" s="121"/>
    </row>
    <row r="69" spans="1:26" s="2" customFormat="1" ht="54.95" customHeight="1">
      <c r="A69" s="3"/>
      <c r="B69" s="3"/>
      <c r="C69" s="125"/>
      <c r="D69" s="126"/>
      <c r="E69" s="126"/>
      <c r="F69" s="126"/>
      <c r="G69" s="126"/>
      <c r="H69" s="126"/>
      <c r="I69" s="126"/>
      <c r="J69" s="3"/>
      <c r="K69" s="3"/>
      <c r="L69" s="3"/>
      <c r="N69" s="29"/>
      <c r="O69" s="29"/>
      <c r="P69" s="29"/>
      <c r="Q69" s="29"/>
      <c r="R69" s="29"/>
      <c r="S69" s="29"/>
      <c r="T69" s="29"/>
      <c r="U69" s="29"/>
      <c r="V69" s="29"/>
      <c r="W69" s="29"/>
      <c r="X69" s="30"/>
      <c r="Y69" s="30"/>
      <c r="Z69" s="121"/>
    </row>
    <row r="70" spans="1:26" s="2" customFormat="1" ht="54.95" customHeight="1">
      <c r="A70" s="3"/>
      <c r="B70" s="3"/>
      <c r="C70" s="125"/>
      <c r="D70" s="126"/>
      <c r="E70" s="126"/>
      <c r="F70" s="126"/>
      <c r="G70" s="126"/>
      <c r="H70" s="126"/>
      <c r="I70" s="126"/>
      <c r="J70" s="3"/>
      <c r="K70" s="3"/>
      <c r="L70" s="3"/>
      <c r="N70" s="29"/>
      <c r="O70" s="29"/>
      <c r="P70" s="29"/>
      <c r="Q70" s="29"/>
      <c r="R70" s="29"/>
      <c r="S70" s="29"/>
      <c r="T70" s="29"/>
      <c r="U70" s="29"/>
      <c r="V70" s="29"/>
      <c r="W70" s="29"/>
      <c r="X70" s="30"/>
      <c r="Y70" s="30"/>
      <c r="Z70" s="121"/>
    </row>
    <row r="71" spans="1:26" s="2" customFormat="1" ht="54.95" customHeight="1">
      <c r="A71" s="3"/>
      <c r="B71" s="3"/>
      <c r="C71" s="125"/>
      <c r="D71" s="126"/>
      <c r="E71" s="126"/>
      <c r="F71" s="126"/>
      <c r="G71" s="126"/>
      <c r="H71" s="126"/>
      <c r="I71" s="126"/>
      <c r="J71" s="3"/>
      <c r="K71" s="3"/>
      <c r="L71" s="3"/>
      <c r="N71" s="29"/>
      <c r="O71" s="29"/>
      <c r="P71" s="29"/>
      <c r="Q71" s="29"/>
      <c r="R71" s="29"/>
      <c r="S71" s="29"/>
      <c r="T71" s="29"/>
      <c r="U71" s="29"/>
      <c r="V71" s="29"/>
      <c r="W71" s="29"/>
      <c r="X71" s="30"/>
      <c r="Y71" s="30"/>
      <c r="Z71" s="121"/>
    </row>
    <row r="72" spans="1:26" s="2" customFormat="1" ht="54.95" customHeight="1">
      <c r="A72" s="3"/>
      <c r="B72" s="3"/>
      <c r="C72" s="125"/>
      <c r="D72" s="126"/>
      <c r="E72" s="126"/>
      <c r="F72" s="126"/>
      <c r="G72" s="126"/>
      <c r="H72" s="126"/>
      <c r="I72" s="126"/>
      <c r="J72" s="3"/>
      <c r="K72" s="3"/>
      <c r="L72" s="3"/>
      <c r="N72" s="29"/>
      <c r="O72" s="29"/>
      <c r="P72" s="29"/>
      <c r="Q72" s="29"/>
      <c r="R72" s="29"/>
      <c r="S72" s="29"/>
      <c r="T72" s="29"/>
      <c r="U72" s="29"/>
      <c r="V72" s="29"/>
      <c r="W72" s="29"/>
      <c r="X72" s="30"/>
      <c r="Y72" s="30"/>
      <c r="Z72" s="121"/>
    </row>
    <row r="73" spans="1:26" s="2" customFormat="1" ht="54.95" customHeight="1">
      <c r="A73" s="3"/>
      <c r="B73" s="3"/>
      <c r="C73" s="125"/>
      <c r="D73" s="126"/>
      <c r="E73" s="126"/>
      <c r="F73" s="126"/>
      <c r="G73" s="126"/>
      <c r="H73" s="126"/>
      <c r="I73" s="126"/>
      <c r="J73" s="3"/>
      <c r="K73" s="3"/>
      <c r="L73" s="3"/>
      <c r="N73" s="29"/>
      <c r="O73" s="29"/>
      <c r="P73" s="29"/>
      <c r="Q73" s="29"/>
      <c r="R73" s="29"/>
      <c r="S73" s="29"/>
      <c r="T73" s="29"/>
      <c r="U73" s="29"/>
      <c r="V73" s="29"/>
      <c r="W73" s="29"/>
      <c r="X73" s="30"/>
      <c r="Y73" s="30"/>
      <c r="Z73" s="121"/>
    </row>
    <row r="74" spans="1:26" s="2" customFormat="1" ht="54.95" customHeight="1">
      <c r="A74" s="3"/>
      <c r="B74" s="3"/>
      <c r="C74" s="125"/>
      <c r="D74" s="126"/>
      <c r="E74" s="126"/>
      <c r="F74" s="126"/>
      <c r="G74" s="126"/>
      <c r="H74" s="126"/>
      <c r="I74" s="126"/>
      <c r="J74" s="3"/>
      <c r="K74" s="3"/>
      <c r="L74" s="3"/>
      <c r="N74" s="29"/>
      <c r="O74" s="29"/>
      <c r="P74" s="29"/>
      <c r="Q74" s="29"/>
      <c r="R74" s="29"/>
      <c r="S74" s="29"/>
      <c r="T74" s="29"/>
      <c r="U74" s="29"/>
      <c r="V74" s="29"/>
      <c r="W74" s="29"/>
      <c r="X74" s="30"/>
      <c r="Y74" s="30"/>
      <c r="Z74" s="121"/>
    </row>
    <row r="75" spans="1:26" ht="54.95" customHeight="1"/>
    <row r="76" spans="1:26" ht="54.95" customHeight="1"/>
    <row r="77" spans="1:26" ht="54.95" customHeight="1"/>
    <row r="78" spans="1:26" ht="54.95" customHeight="1"/>
    <row r="79" spans="1:26" ht="54.95" customHeight="1"/>
    <row r="80" spans="1:26" ht="54.95" customHeight="1"/>
    <row r="81" ht="54.95" customHeight="1"/>
    <row r="82" ht="54.95" customHeight="1"/>
    <row r="83" ht="54.95" customHeight="1"/>
    <row r="84" ht="54.95" customHeight="1"/>
    <row r="85" ht="54.95" customHeight="1"/>
    <row r="86" ht="54.95" customHeight="1"/>
    <row r="87" ht="54.95" customHeight="1"/>
    <row r="88" ht="54.95" customHeight="1"/>
    <row r="89" ht="54.95" customHeight="1"/>
    <row r="90" ht="54.95" customHeight="1"/>
    <row r="91" ht="54.95" customHeight="1"/>
    <row r="92" ht="54.95" customHeight="1"/>
    <row r="93" ht="54.95" customHeight="1"/>
    <row r="94" ht="54.95" customHeight="1"/>
    <row r="95" ht="54.95" customHeight="1"/>
    <row r="96" ht="54.95" customHeight="1"/>
    <row r="97" ht="54.95" customHeight="1"/>
    <row r="98" ht="54.95" customHeight="1"/>
    <row r="99" ht="54.95" customHeight="1"/>
    <row r="100" ht="54.95" customHeight="1"/>
    <row r="101" ht="54.95" customHeight="1"/>
    <row r="102" ht="54.95" customHeight="1"/>
    <row r="103" ht="54.95" customHeight="1"/>
    <row r="104" ht="54.95" customHeight="1"/>
    <row r="105" ht="54.95" customHeight="1"/>
    <row r="106" ht="54.95" customHeight="1"/>
    <row r="107" ht="54.95" customHeight="1"/>
    <row r="108" ht="54.95" customHeight="1"/>
    <row r="109" ht="54.95" customHeight="1"/>
    <row r="110" ht="54.95" customHeight="1"/>
    <row r="111" ht="54.95" customHeight="1"/>
    <row r="112" ht="54.95" customHeight="1"/>
    <row r="113" ht="54.95" customHeight="1"/>
    <row r="114" ht="54.95" customHeight="1"/>
    <row r="115" ht="54.95" customHeight="1"/>
    <row r="116" ht="54.95" customHeight="1"/>
    <row r="117" ht="54.95" customHeight="1"/>
    <row r="118" ht="54.95" customHeight="1"/>
    <row r="119" ht="54.95" customHeight="1"/>
    <row r="120" ht="54.95" customHeight="1"/>
    <row r="121" ht="54.95" customHeight="1"/>
    <row r="122" ht="54.95" customHeight="1"/>
    <row r="123" ht="54.95" customHeight="1"/>
    <row r="124" ht="54.95" customHeight="1"/>
    <row r="125" ht="54.95" customHeight="1"/>
    <row r="126" ht="54.95" customHeight="1"/>
    <row r="127" ht="54.95" customHeight="1"/>
    <row r="128" ht="54.95" customHeight="1"/>
    <row r="129" ht="54.95" customHeight="1"/>
    <row r="130" ht="54.95" customHeight="1"/>
    <row r="131" ht="54.95" customHeight="1"/>
    <row r="132" ht="54.95" customHeight="1"/>
    <row r="133" ht="54.95" customHeight="1"/>
    <row r="134" ht="54.95" customHeight="1"/>
    <row r="135" ht="54.95" customHeight="1"/>
    <row r="136" ht="54.95" customHeight="1"/>
    <row r="137" ht="54.95" customHeight="1"/>
    <row r="138" ht="54.95" customHeight="1"/>
    <row r="139" ht="54.95" customHeight="1"/>
    <row r="140" ht="54.95" customHeight="1"/>
    <row r="141" ht="54.95" customHeight="1"/>
    <row r="142" ht="54.95" customHeight="1"/>
    <row r="143" ht="54.95" customHeight="1"/>
    <row r="144" ht="54.95" customHeight="1"/>
    <row r="145" ht="54.95" customHeight="1"/>
    <row r="146" ht="54.95" customHeight="1"/>
    <row r="147" ht="54.95" customHeight="1"/>
    <row r="148" ht="54.95" customHeight="1"/>
    <row r="149" ht="54.95" customHeight="1"/>
    <row r="150" ht="54.95" customHeight="1"/>
    <row r="151" ht="54.95" customHeight="1"/>
    <row r="152" ht="54.95" customHeight="1"/>
    <row r="153" ht="54.95" customHeight="1"/>
    <row r="154" ht="54.95" customHeight="1"/>
    <row r="155" ht="54.95" customHeight="1"/>
    <row r="156" ht="54.95" customHeight="1"/>
    <row r="157" ht="54.95" customHeight="1"/>
    <row r="158" ht="54.95" customHeight="1"/>
    <row r="159" ht="54.95" customHeight="1"/>
    <row r="160" ht="54.95" customHeight="1"/>
    <row r="161" ht="54.95" customHeight="1"/>
    <row r="162" ht="54.95" customHeight="1"/>
    <row r="163" ht="54.95" customHeight="1"/>
    <row r="164" ht="54.95" customHeight="1"/>
    <row r="165" ht="54.95" customHeight="1"/>
    <row r="166" ht="54.95" customHeight="1"/>
    <row r="167" ht="54.95" customHeight="1"/>
    <row r="168" ht="54.95" customHeight="1"/>
    <row r="169" ht="54.95" customHeight="1"/>
    <row r="170" ht="54.95" customHeight="1"/>
    <row r="171" ht="54.95" customHeight="1"/>
    <row r="172" ht="54.95" customHeight="1"/>
    <row r="173" ht="54.95" customHeight="1"/>
    <row r="174" ht="54.95" customHeight="1"/>
    <row r="175" ht="54.95" customHeight="1"/>
    <row r="176" ht="54.95" customHeight="1"/>
    <row r="177" spans="1:26" ht="54.95" customHeight="1"/>
    <row r="178" spans="1:26" ht="54.95" customHeight="1"/>
    <row r="179" spans="1:26" ht="54.95" customHeight="1"/>
    <row r="180" spans="1:26" ht="54.95" customHeight="1"/>
    <row r="181" spans="1:26" ht="54.95" customHeight="1"/>
    <row r="182" spans="1:26" ht="54.95" customHeight="1"/>
    <row r="183" spans="1:26" ht="54.95" customHeight="1"/>
    <row r="184" spans="1:26" ht="54.95" customHeight="1"/>
    <row r="185" spans="1:26" ht="54.95" customHeight="1"/>
    <row r="186" spans="1:26" ht="54.95" customHeight="1"/>
    <row r="187" spans="1:26" s="2" customFormat="1" ht="54.95" customHeight="1">
      <c r="A187" s="3"/>
      <c r="B187" s="3"/>
      <c r="C187" s="125"/>
      <c r="D187" s="126"/>
      <c r="E187" s="126"/>
      <c r="F187" s="126"/>
      <c r="G187" s="126"/>
      <c r="H187" s="126"/>
      <c r="I187" s="126"/>
      <c r="J187" s="3"/>
      <c r="K187" s="3"/>
      <c r="L187" s="3"/>
      <c r="N187" s="29"/>
      <c r="O187" s="29"/>
      <c r="P187" s="29"/>
      <c r="Q187" s="29"/>
      <c r="R187" s="29"/>
      <c r="S187" s="29"/>
      <c r="T187" s="29"/>
      <c r="U187" s="29"/>
      <c r="V187" s="29"/>
      <c r="W187" s="29"/>
      <c r="X187" s="30"/>
      <c r="Y187" s="30"/>
      <c r="Z187" s="121"/>
    </row>
    <row r="188" spans="1:26" s="2" customFormat="1" ht="54.95" customHeight="1">
      <c r="A188" s="3"/>
      <c r="B188" s="3"/>
      <c r="C188" s="125"/>
      <c r="D188" s="126"/>
      <c r="E188" s="126"/>
      <c r="F188" s="126"/>
      <c r="G188" s="126"/>
      <c r="H188" s="126"/>
      <c r="I188" s="126"/>
      <c r="J188" s="3"/>
      <c r="K188" s="3"/>
      <c r="L188" s="3"/>
      <c r="N188" s="29"/>
      <c r="O188" s="29"/>
      <c r="P188" s="29"/>
      <c r="Q188" s="29"/>
      <c r="R188" s="29"/>
      <c r="S188" s="29"/>
      <c r="T188" s="29"/>
      <c r="U188" s="29"/>
      <c r="V188" s="29"/>
      <c r="W188" s="29"/>
      <c r="X188" s="30"/>
      <c r="Y188" s="30"/>
      <c r="Z188" s="121"/>
    </row>
    <row r="189" spans="1:26" s="2" customFormat="1" ht="54.95" customHeight="1">
      <c r="A189" s="3"/>
      <c r="B189" s="3"/>
      <c r="C189" s="125"/>
      <c r="D189" s="126"/>
      <c r="E189" s="126"/>
      <c r="F189" s="126"/>
      <c r="G189" s="126"/>
      <c r="H189" s="126"/>
      <c r="I189" s="126"/>
      <c r="J189" s="3"/>
      <c r="K189" s="3"/>
      <c r="L189" s="3"/>
      <c r="N189" s="29"/>
      <c r="O189" s="29"/>
      <c r="P189" s="29"/>
      <c r="Q189" s="29"/>
      <c r="R189" s="29"/>
      <c r="S189" s="29"/>
      <c r="T189" s="29"/>
      <c r="U189" s="29"/>
      <c r="V189" s="29"/>
      <c r="W189" s="29"/>
      <c r="X189" s="30"/>
      <c r="Y189" s="30"/>
      <c r="Z189" s="121"/>
    </row>
    <row r="190" spans="1:26" s="2" customFormat="1" ht="54.95" customHeight="1">
      <c r="A190" s="3"/>
      <c r="B190" s="3"/>
      <c r="C190" s="125"/>
      <c r="D190" s="126"/>
      <c r="E190" s="126"/>
      <c r="F190" s="126"/>
      <c r="G190" s="126"/>
      <c r="H190" s="126"/>
      <c r="I190" s="126"/>
      <c r="J190" s="3"/>
      <c r="K190" s="3"/>
      <c r="L190" s="3"/>
      <c r="N190" s="29"/>
      <c r="O190" s="29"/>
      <c r="P190" s="29"/>
      <c r="Q190" s="29"/>
      <c r="R190" s="29"/>
      <c r="S190" s="29"/>
      <c r="T190" s="29"/>
      <c r="U190" s="29"/>
      <c r="V190" s="29"/>
      <c r="W190" s="29"/>
      <c r="X190" s="30"/>
      <c r="Y190" s="30"/>
      <c r="Z190" s="121"/>
    </row>
    <row r="191" spans="1:26" s="2" customFormat="1" ht="54.95" customHeight="1">
      <c r="A191" s="3"/>
      <c r="B191" s="3"/>
      <c r="C191" s="125"/>
      <c r="D191" s="126"/>
      <c r="E191" s="126"/>
      <c r="F191" s="126"/>
      <c r="G191" s="126"/>
      <c r="H191" s="126"/>
      <c r="I191" s="126"/>
      <c r="J191" s="3"/>
      <c r="K191" s="3"/>
      <c r="L191" s="3"/>
      <c r="N191" s="29"/>
      <c r="O191" s="29"/>
      <c r="P191" s="29"/>
      <c r="Q191" s="29"/>
      <c r="R191" s="29"/>
      <c r="S191" s="29"/>
      <c r="T191" s="29"/>
      <c r="U191" s="29"/>
      <c r="V191" s="29"/>
      <c r="W191" s="29"/>
      <c r="X191" s="30"/>
      <c r="Y191" s="30"/>
      <c r="Z191" s="121"/>
    </row>
    <row r="192" spans="1:26" s="2" customFormat="1" ht="54.95" customHeight="1">
      <c r="A192" s="3"/>
      <c r="B192" s="3"/>
      <c r="C192" s="125"/>
      <c r="D192" s="126"/>
      <c r="E192" s="126"/>
      <c r="F192" s="126"/>
      <c r="G192" s="126"/>
      <c r="H192" s="126"/>
      <c r="I192" s="126"/>
      <c r="J192" s="3"/>
      <c r="K192" s="3"/>
      <c r="L192" s="3"/>
      <c r="N192" s="29"/>
      <c r="O192" s="29"/>
      <c r="P192" s="29"/>
      <c r="Q192" s="29"/>
      <c r="R192" s="29"/>
      <c r="S192" s="29"/>
      <c r="T192" s="29"/>
      <c r="U192" s="29"/>
      <c r="V192" s="29"/>
      <c r="W192" s="29"/>
      <c r="X192" s="30"/>
      <c r="Y192" s="30"/>
      <c r="Z192" s="121"/>
    </row>
    <row r="193" spans="1:26" s="2" customFormat="1" ht="54.95" customHeight="1">
      <c r="A193" s="3"/>
      <c r="B193" s="3"/>
      <c r="C193" s="125"/>
      <c r="D193" s="126"/>
      <c r="E193" s="126"/>
      <c r="F193" s="126"/>
      <c r="G193" s="126"/>
      <c r="H193" s="126"/>
      <c r="I193" s="126"/>
      <c r="J193" s="3"/>
      <c r="K193" s="3"/>
      <c r="L193" s="3"/>
      <c r="N193" s="29"/>
      <c r="O193" s="29"/>
      <c r="P193" s="29"/>
      <c r="Q193" s="29"/>
      <c r="R193" s="29"/>
      <c r="S193" s="29"/>
      <c r="T193" s="29"/>
      <c r="U193" s="29"/>
      <c r="V193" s="29"/>
      <c r="W193" s="29"/>
      <c r="X193" s="30"/>
      <c r="Y193" s="30"/>
      <c r="Z193" s="121"/>
    </row>
    <row r="194" spans="1:26" s="15" customFormat="1" ht="54.95" hidden="1" customHeight="1">
      <c r="B194" s="15" t="str">
        <f>$A$59</f>
        <v>كميت سنجه عملكرد همسان شده :</v>
      </c>
      <c r="C194" s="128" t="s">
        <v>161</v>
      </c>
      <c r="D194" s="129">
        <f>$L$59*[17]روکش!$D$3</f>
        <v>0</v>
      </c>
      <c r="E194" s="129"/>
      <c r="F194" s="129"/>
      <c r="G194" s="129"/>
      <c r="H194" s="129"/>
      <c r="I194" s="129"/>
      <c r="N194" s="29"/>
      <c r="O194" s="29"/>
      <c r="P194" s="29"/>
      <c r="Q194" s="29"/>
      <c r="R194" s="29"/>
      <c r="S194" s="29"/>
      <c r="T194" s="29"/>
      <c r="U194" s="29"/>
      <c r="V194" s="29"/>
      <c r="W194" s="29"/>
      <c r="X194" s="30"/>
      <c r="Y194" s="30"/>
      <c r="Z194" s="30"/>
    </row>
    <row r="195" spans="1:26" s="15" customFormat="1" ht="54.95" hidden="1" customHeight="1">
      <c r="C195" s="128" t="s">
        <v>162</v>
      </c>
      <c r="D195" s="129">
        <f>$M$59*[17]روکش!$D$3</f>
        <v>0</v>
      </c>
      <c r="E195" s="129"/>
      <c r="F195" s="129"/>
      <c r="G195" s="129"/>
      <c r="H195" s="129"/>
      <c r="I195" s="129"/>
      <c r="N195" s="29"/>
      <c r="O195" s="29"/>
      <c r="P195" s="29"/>
      <c r="Q195" s="29"/>
      <c r="R195" s="29"/>
      <c r="S195" s="29"/>
      <c r="T195" s="29"/>
      <c r="U195" s="29"/>
      <c r="V195" s="29"/>
      <c r="W195" s="29"/>
      <c r="X195" s="30"/>
      <c r="Y195" s="30"/>
      <c r="Z195" s="30"/>
    </row>
    <row r="196" spans="1:26" s="2" customFormat="1" ht="54.95" customHeight="1">
      <c r="A196" s="3"/>
      <c r="B196" s="3"/>
      <c r="C196" s="125"/>
      <c r="D196" s="126"/>
      <c r="E196" s="126"/>
      <c r="F196" s="126"/>
      <c r="G196" s="126"/>
      <c r="H196" s="126"/>
      <c r="I196" s="126"/>
      <c r="J196" s="3"/>
      <c r="K196" s="3"/>
      <c r="L196" s="3"/>
      <c r="N196" s="29"/>
      <c r="O196" s="29"/>
      <c r="P196" s="29"/>
      <c r="Q196" s="29"/>
      <c r="R196" s="29"/>
      <c r="S196" s="29"/>
      <c r="T196" s="29"/>
      <c r="U196" s="29"/>
      <c r="V196" s="29"/>
      <c r="W196" s="29"/>
      <c r="X196" s="30"/>
      <c r="Y196" s="30"/>
      <c r="Z196" s="121"/>
    </row>
    <row r="197" spans="1:26" s="2" customFormat="1" ht="54.95" customHeight="1">
      <c r="A197" s="3"/>
      <c r="B197" s="3"/>
      <c r="C197" s="125"/>
      <c r="D197" s="126"/>
      <c r="E197" s="126"/>
      <c r="F197" s="126"/>
      <c r="G197" s="126"/>
      <c r="H197" s="126"/>
      <c r="I197" s="126"/>
      <c r="J197" s="3"/>
      <c r="K197" s="3"/>
      <c r="L197" s="3"/>
      <c r="N197" s="29"/>
      <c r="O197" s="29"/>
      <c r="P197" s="29"/>
      <c r="Q197" s="29"/>
      <c r="R197" s="29"/>
      <c r="S197" s="29"/>
      <c r="T197" s="29"/>
      <c r="U197" s="29"/>
      <c r="V197" s="29"/>
      <c r="W197" s="29"/>
      <c r="X197" s="30"/>
      <c r="Y197" s="30"/>
      <c r="Z197" s="121"/>
    </row>
    <row r="198" spans="1:26" s="2" customFormat="1" ht="54.95" customHeight="1">
      <c r="A198" s="3"/>
      <c r="B198" s="3"/>
      <c r="C198" s="125"/>
      <c r="D198" s="126"/>
      <c r="E198" s="126"/>
      <c r="F198" s="126"/>
      <c r="G198" s="126"/>
      <c r="H198" s="126"/>
      <c r="I198" s="126"/>
      <c r="J198" s="3"/>
      <c r="K198" s="3"/>
      <c r="L198" s="3"/>
      <c r="N198" s="29"/>
      <c r="O198" s="29"/>
      <c r="P198" s="29"/>
      <c r="Q198" s="29"/>
      <c r="R198" s="29"/>
      <c r="S198" s="29"/>
      <c r="T198" s="29"/>
      <c r="U198" s="29"/>
      <c r="V198" s="29"/>
      <c r="W198" s="29"/>
      <c r="X198" s="30"/>
      <c r="Y198" s="30"/>
      <c r="Z198" s="121"/>
    </row>
    <row r="199" spans="1:26" s="2" customFormat="1" ht="54.95" customHeight="1">
      <c r="A199" s="3"/>
      <c r="B199" s="3"/>
      <c r="C199" s="125"/>
      <c r="D199" s="126"/>
      <c r="E199" s="126"/>
      <c r="F199" s="126"/>
      <c r="G199" s="126"/>
      <c r="H199" s="126"/>
      <c r="I199" s="126"/>
      <c r="J199" s="3"/>
      <c r="K199" s="3"/>
      <c r="L199" s="3"/>
      <c r="N199" s="29"/>
      <c r="O199" s="29"/>
      <c r="P199" s="29"/>
      <c r="Q199" s="29"/>
      <c r="R199" s="29"/>
      <c r="S199" s="29"/>
      <c r="T199" s="29"/>
      <c r="U199" s="29"/>
      <c r="V199" s="29"/>
      <c r="W199" s="29"/>
      <c r="X199" s="30"/>
      <c r="Y199" s="30"/>
      <c r="Z199" s="121"/>
    </row>
    <row r="200" spans="1:26" s="2" customFormat="1" ht="54.95" customHeight="1">
      <c r="A200" s="3"/>
      <c r="B200" s="3"/>
      <c r="C200" s="125"/>
      <c r="D200" s="126"/>
      <c r="E200" s="126"/>
      <c r="F200" s="126"/>
      <c r="G200" s="126"/>
      <c r="H200" s="126"/>
      <c r="I200" s="126"/>
      <c r="J200" s="3"/>
      <c r="K200" s="3"/>
      <c r="L200" s="3"/>
      <c r="N200" s="29"/>
      <c r="O200" s="29"/>
      <c r="P200" s="29"/>
      <c r="Q200" s="29"/>
      <c r="R200" s="29"/>
      <c r="S200" s="29"/>
      <c r="T200" s="29"/>
      <c r="U200" s="29"/>
      <c r="V200" s="29"/>
      <c r="W200" s="29"/>
      <c r="X200" s="30"/>
      <c r="Y200" s="30"/>
      <c r="Z200" s="121"/>
    </row>
    <row r="201" spans="1:26" s="2" customFormat="1" ht="54.95" customHeight="1">
      <c r="A201" s="3"/>
      <c r="B201" s="3"/>
      <c r="C201" s="125"/>
      <c r="D201" s="126"/>
      <c r="E201" s="126"/>
      <c r="F201" s="126"/>
      <c r="G201" s="126"/>
      <c r="H201" s="126"/>
      <c r="I201" s="126"/>
      <c r="J201" s="3"/>
      <c r="K201" s="3"/>
      <c r="L201" s="3"/>
      <c r="N201" s="29"/>
      <c r="O201" s="29"/>
      <c r="P201" s="29"/>
      <c r="Q201" s="29"/>
      <c r="R201" s="29"/>
      <c r="S201" s="29"/>
      <c r="T201" s="29"/>
      <c r="U201" s="29"/>
      <c r="V201" s="29"/>
      <c r="W201" s="29"/>
      <c r="X201" s="30"/>
      <c r="Y201" s="30"/>
      <c r="Z201" s="121"/>
    </row>
    <row r="202" spans="1:26" s="2" customFormat="1" ht="54.95" customHeight="1">
      <c r="A202" s="3"/>
      <c r="B202" s="3"/>
      <c r="C202" s="125"/>
      <c r="D202" s="126"/>
      <c r="E202" s="126"/>
      <c r="F202" s="126"/>
      <c r="G202" s="126"/>
      <c r="H202" s="126"/>
      <c r="I202" s="126"/>
      <c r="J202" s="3"/>
      <c r="K202" s="3"/>
      <c r="L202" s="3"/>
      <c r="N202" s="29"/>
      <c r="O202" s="29"/>
      <c r="P202" s="29"/>
      <c r="Q202" s="29"/>
      <c r="R202" s="29"/>
      <c r="S202" s="29"/>
      <c r="T202" s="29"/>
      <c r="U202" s="29"/>
      <c r="V202" s="29"/>
      <c r="W202" s="29"/>
      <c r="X202" s="30"/>
      <c r="Y202" s="30"/>
      <c r="Z202" s="121"/>
    </row>
    <row r="203" spans="1:26" ht="54.95" customHeight="1"/>
    <row r="204" spans="1:26" ht="54.95" customHeight="1"/>
    <row r="205" spans="1:26" ht="54.95" customHeight="1"/>
    <row r="206" spans="1:26" ht="54.95" customHeight="1"/>
    <row r="207" spans="1:26" ht="54.95" customHeight="1"/>
    <row r="208" spans="1:26" ht="54.95" customHeight="1"/>
    <row r="209" ht="54.95" customHeight="1"/>
    <row r="210" ht="54.95" customHeight="1"/>
    <row r="211" ht="54.95" customHeight="1"/>
    <row r="212" ht="54.95" customHeight="1"/>
    <row r="213" ht="54.95" customHeight="1"/>
    <row r="214" ht="54.95" customHeight="1"/>
    <row r="215" ht="54.95" customHeight="1"/>
    <row r="216" ht="54.95" customHeight="1"/>
    <row r="217" ht="54.95" customHeight="1"/>
    <row r="218" ht="54.95" customHeight="1"/>
    <row r="219" ht="54.95" customHeight="1"/>
    <row r="220" ht="54.95" customHeight="1"/>
    <row r="221" ht="54.95" customHeight="1"/>
    <row r="222" ht="54.95" customHeight="1"/>
    <row r="223" ht="54.95" customHeight="1"/>
    <row r="224" ht="54.95" customHeight="1"/>
    <row r="225" ht="54.95" customHeight="1"/>
    <row r="226" ht="54.95" customHeight="1"/>
    <row r="227" ht="54.95" customHeight="1"/>
    <row r="228" ht="54.95" customHeight="1"/>
    <row r="229" ht="54.95" customHeight="1"/>
    <row r="230" ht="54.95" customHeight="1"/>
    <row r="231" ht="54.95" customHeight="1"/>
    <row r="232" ht="54.95" customHeight="1"/>
    <row r="233" ht="54.95" customHeight="1"/>
    <row r="234" ht="54.95" customHeight="1"/>
    <row r="235" ht="54.95" customHeight="1"/>
    <row r="236" ht="54.95" customHeight="1"/>
    <row r="237" ht="54.95" customHeight="1"/>
    <row r="238" ht="54.95" customHeight="1"/>
    <row r="239" ht="54.95" customHeight="1"/>
    <row r="240" ht="54.95" customHeight="1"/>
    <row r="241" ht="54.95" customHeight="1"/>
    <row r="242" ht="54.95" customHeight="1"/>
    <row r="243" ht="54.95" customHeight="1"/>
    <row r="244" ht="54.95" customHeight="1"/>
    <row r="245" ht="54.95" customHeight="1"/>
    <row r="246" ht="54.95" customHeight="1"/>
    <row r="247" ht="54.95" customHeight="1"/>
    <row r="248" ht="54.95" customHeight="1"/>
    <row r="249" ht="54.95" customHeight="1"/>
    <row r="250" ht="54.95" customHeight="1"/>
    <row r="251" ht="54.95" customHeight="1"/>
    <row r="252" ht="54.95" customHeight="1"/>
    <row r="253" ht="54.95" customHeight="1"/>
    <row r="254" ht="54.95" customHeight="1"/>
    <row r="255" ht="54.95" customHeight="1"/>
    <row r="256" ht="54.95" customHeight="1"/>
    <row r="257" ht="54.95" customHeight="1"/>
    <row r="258" ht="54.95" customHeight="1"/>
    <row r="259" ht="54.95" customHeight="1"/>
    <row r="260" ht="54.95" customHeight="1"/>
    <row r="261" ht="54.95" customHeight="1"/>
    <row r="262" ht="54.95" customHeight="1"/>
    <row r="263" ht="54.95" customHeight="1"/>
    <row r="264" ht="54.95" customHeight="1"/>
    <row r="265" ht="54.95" customHeight="1"/>
    <row r="266" ht="54.95" customHeight="1"/>
    <row r="267" ht="54.95" customHeight="1"/>
    <row r="268" ht="54.95" customHeight="1"/>
    <row r="269" ht="54.95" customHeight="1"/>
    <row r="270" ht="54.95" customHeight="1"/>
    <row r="271" ht="54.95" customHeight="1"/>
    <row r="272" ht="54.95" customHeight="1"/>
    <row r="273" ht="54.95" customHeight="1"/>
    <row r="274" ht="54.95" customHeight="1"/>
    <row r="275" ht="54.95" customHeight="1"/>
    <row r="276" ht="54.95" customHeight="1"/>
    <row r="277" ht="54.95" customHeight="1"/>
    <row r="278" ht="54.95" customHeight="1"/>
    <row r="279" ht="54.95" customHeight="1"/>
    <row r="280" ht="54.95" customHeight="1"/>
    <row r="281" ht="54.95" customHeight="1"/>
    <row r="282" ht="54.95" customHeight="1"/>
    <row r="283" ht="54.95" customHeight="1"/>
    <row r="284" ht="54.95" customHeight="1"/>
    <row r="285" ht="54.95" customHeight="1"/>
    <row r="286" ht="54.95" customHeight="1"/>
    <row r="287" ht="54.95" customHeight="1"/>
    <row r="288" ht="54.95" customHeight="1"/>
  </sheetData>
  <mergeCells count="13">
    <mergeCell ref="A59:B59"/>
    <mergeCell ref="C59:K59"/>
    <mergeCell ref="A60:L60"/>
    <mergeCell ref="A1:M1"/>
    <mergeCell ref="B2:B3"/>
    <mergeCell ref="C2:C3"/>
    <mergeCell ref="D2:G2"/>
    <mergeCell ref="H2:H3"/>
    <mergeCell ref="I2:I3"/>
    <mergeCell ref="J2:J3"/>
    <mergeCell ref="K2:K3"/>
    <mergeCell ref="L2:L3"/>
    <mergeCell ref="M2:M3"/>
  </mergeCells>
  <pageMargins left="0.7" right="0.7" top="0.75" bottom="0.75" header="0.3" footer="0.3"/>
  <pageSetup paperSize="9" scale="62" orientation="portrait" r:id="rId1"/>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rightToLeft="1" workbookViewId="0">
      <selection sqref="A1:C1"/>
    </sheetView>
  </sheetViews>
  <sheetFormatPr defaultRowHeight="27"/>
  <cols>
    <col min="1" max="1" width="18.33203125" style="60" customWidth="1"/>
    <col min="2" max="2" width="126.6640625" style="60" customWidth="1"/>
    <col min="3" max="3" width="18.33203125" style="60" customWidth="1"/>
    <col min="4" max="16384" width="9.33203125" style="60"/>
  </cols>
  <sheetData>
    <row r="1" spans="1:3" ht="53.25" customHeight="1">
      <c r="A1" s="387" t="s">
        <v>618</v>
      </c>
      <c r="B1" s="387"/>
      <c r="C1" s="387"/>
    </row>
    <row r="2" spans="1:3" s="62" customFormat="1" ht="21" customHeight="1">
      <c r="A2" s="388"/>
      <c r="B2" s="61" t="str">
        <f>'[17]سیاست ها و برنامه ها  '!$A$1</f>
        <v xml:space="preserve"> اهداف کلی 1: تامین بهداشت و سلامت دام</v>
      </c>
      <c r="C2" s="389"/>
    </row>
    <row r="3" spans="1:3" s="62" customFormat="1" ht="21" customHeight="1">
      <c r="A3" s="388"/>
      <c r="B3" s="63" t="str">
        <f>'[17]سیاست ها و برنامه ها  '!$A$2</f>
        <v xml:space="preserve">راهبرد 2-1: ارتقاء شاخص های کنترل بیماری های دام، طیور و آبزیان </v>
      </c>
      <c r="C3" s="389"/>
    </row>
    <row r="4" spans="1:3" s="62" customFormat="1" ht="21" customHeight="1">
      <c r="A4" s="388"/>
      <c r="B4" s="64" t="str">
        <f>CONCATENATE([17]روکش!A1," ",[17]روکش!B1)</f>
        <v xml:space="preserve"> عنوان هدف کمی: کاهش بروز بیماری ها در مزارع پرورشی آبزیان و کاهش تلفات در مزارع پرورش آبزیان</v>
      </c>
      <c r="C4" s="389"/>
    </row>
    <row r="5" spans="1:3" s="62" customFormat="1" ht="21" customHeight="1">
      <c r="A5" s="388"/>
      <c r="B5" s="64" t="str">
        <f>CONCATENATE([17]روکش!A2,"  ",[17]روکش!B2,"     ",[17]روکش!C2,"  ",[17]روکش!D2)</f>
        <v>عنوان سنجه عملکرد:   بازدید نمونه برداری     شاخص سنجه:  2</v>
      </c>
      <c r="C5" s="389"/>
    </row>
    <row r="6" spans="1:3" s="62" customFormat="1" ht="21" customHeight="1">
      <c r="A6" s="388"/>
      <c r="B6" s="64" t="s">
        <v>559</v>
      </c>
      <c r="C6" s="389"/>
    </row>
    <row r="7" spans="1:3" s="62" customFormat="1" ht="21" customHeight="1">
      <c r="A7" s="388"/>
      <c r="B7" s="64" t="s">
        <v>566</v>
      </c>
      <c r="C7" s="389"/>
    </row>
    <row r="8" spans="1:3" ht="21" customHeight="1">
      <c r="A8" s="388"/>
      <c r="B8" s="65" t="s">
        <v>567</v>
      </c>
      <c r="C8" s="389"/>
    </row>
    <row r="9" spans="1:3" s="66" customFormat="1" ht="21" customHeight="1">
      <c r="A9" s="388"/>
      <c r="B9" s="63" t="s">
        <v>568</v>
      </c>
      <c r="C9" s="389"/>
    </row>
    <row r="10" spans="1:3" s="68" customFormat="1" ht="21" customHeight="1">
      <c r="A10" s="388"/>
      <c r="B10" s="67" t="s">
        <v>569</v>
      </c>
      <c r="C10" s="389"/>
    </row>
    <row r="11" spans="1:3" s="68" customFormat="1" ht="21" customHeight="1">
      <c r="A11" s="388"/>
      <c r="B11" s="67" t="s">
        <v>570</v>
      </c>
      <c r="C11" s="389"/>
    </row>
    <row r="12" spans="1:3" s="68" customFormat="1" ht="21" customHeight="1">
      <c r="A12" s="388"/>
      <c r="B12" s="67" t="s">
        <v>571</v>
      </c>
      <c r="C12" s="389"/>
    </row>
    <row r="13" spans="1:3" s="68" customFormat="1" ht="21" customHeight="1">
      <c r="A13" s="388"/>
      <c r="B13" s="67" t="s">
        <v>572</v>
      </c>
      <c r="C13" s="389"/>
    </row>
    <row r="14" spans="1:3" s="68" customFormat="1" ht="21" customHeight="1">
      <c r="A14" s="388"/>
      <c r="B14" s="67" t="s">
        <v>573</v>
      </c>
      <c r="C14" s="389"/>
    </row>
    <row r="15" spans="1:3" ht="21" customHeight="1">
      <c r="A15" s="388"/>
      <c r="B15" s="69" t="s">
        <v>574</v>
      </c>
      <c r="C15" s="389"/>
    </row>
    <row r="16" spans="1:3" ht="21" customHeight="1">
      <c r="A16" s="388"/>
      <c r="B16" s="69" t="s">
        <v>575</v>
      </c>
      <c r="C16" s="389"/>
    </row>
    <row r="17" spans="1:3" s="70" customFormat="1" ht="21" customHeight="1">
      <c r="A17" s="388"/>
      <c r="B17" s="69" t="s">
        <v>576</v>
      </c>
      <c r="C17" s="389"/>
    </row>
    <row r="18" spans="1:3" s="70" customFormat="1" ht="21" customHeight="1">
      <c r="A18" s="388"/>
      <c r="B18" s="69" t="s">
        <v>577</v>
      </c>
      <c r="C18" s="389"/>
    </row>
    <row r="19" spans="1:3" s="70" customFormat="1" ht="21" customHeight="1">
      <c r="A19" s="388"/>
      <c r="B19" s="69" t="s">
        <v>578</v>
      </c>
      <c r="C19" s="389"/>
    </row>
    <row r="20" spans="1:3" s="70" customFormat="1" ht="21" customHeight="1">
      <c r="A20" s="388"/>
      <c r="B20" s="69" t="s">
        <v>579</v>
      </c>
      <c r="C20" s="389"/>
    </row>
    <row r="21" spans="1:3" s="70" customFormat="1" ht="21" customHeight="1">
      <c r="A21" s="388"/>
      <c r="B21" s="71" t="s">
        <v>580</v>
      </c>
      <c r="C21" s="389"/>
    </row>
    <row r="22" spans="1:3" ht="43.5" customHeight="1">
      <c r="A22" s="390"/>
      <c r="B22" s="390"/>
      <c r="C22" s="390"/>
    </row>
    <row r="23" spans="1:3" ht="22.5" customHeight="1"/>
    <row r="24" spans="1:3" ht="22.5" customHeight="1"/>
  </sheetData>
  <dataConsolidate/>
  <mergeCells count="4">
    <mergeCell ref="A1:C1"/>
    <mergeCell ref="A2:A21"/>
    <mergeCell ref="C2:C21"/>
    <mergeCell ref="A22:C22"/>
  </mergeCell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6"/>
  <sheetViews>
    <sheetView showGridLines="0" rightToLeft="1" workbookViewId="0">
      <pane xSplit="11" topLeftCell="L1" activePane="topRight" state="frozen"/>
      <selection pane="topRight" activeCell="L3" sqref="L3"/>
    </sheetView>
  </sheetViews>
  <sheetFormatPr defaultRowHeight="18"/>
  <cols>
    <col min="1" max="1" width="15.5" customWidth="1"/>
    <col min="2" max="2" width="11.5" customWidth="1"/>
    <col min="3" max="3" width="50.6640625" customWidth="1"/>
    <col min="4" max="4" width="21.6640625" customWidth="1"/>
    <col min="5" max="10" width="9.83203125" customWidth="1"/>
    <col min="11" max="11" width="16.83203125" customWidth="1"/>
    <col min="12" max="12" width="12.1640625" customWidth="1"/>
  </cols>
  <sheetData>
    <row r="1" spans="1:11" ht="42.75" customHeight="1">
      <c r="A1" s="435" t="s">
        <v>722</v>
      </c>
      <c r="B1" s="436"/>
      <c r="C1" s="436"/>
      <c r="D1" s="436"/>
      <c r="E1" s="436"/>
      <c r="F1" s="436"/>
      <c r="G1" s="436"/>
      <c r="H1" s="436"/>
      <c r="I1" s="436"/>
      <c r="J1" s="436"/>
      <c r="K1" s="437"/>
    </row>
    <row r="2" spans="1:11" ht="71.25" customHeight="1">
      <c r="A2" s="438"/>
      <c r="B2" s="217" t="s">
        <v>0</v>
      </c>
      <c r="C2" s="218" t="s">
        <v>633</v>
      </c>
      <c r="D2" s="219" t="s">
        <v>632</v>
      </c>
      <c r="E2" s="219">
        <v>1396</v>
      </c>
      <c r="F2" s="219">
        <v>1397</v>
      </c>
      <c r="G2" s="219">
        <v>1398</v>
      </c>
      <c r="H2" s="219">
        <v>1399</v>
      </c>
      <c r="I2" s="219">
        <v>1400</v>
      </c>
      <c r="J2" s="219">
        <v>1401</v>
      </c>
      <c r="K2" s="439"/>
    </row>
    <row r="3" spans="1:11" ht="17.100000000000001" customHeight="1">
      <c r="A3" s="438"/>
      <c r="B3" s="425" t="s">
        <v>629</v>
      </c>
      <c r="C3" s="440" t="s">
        <v>644</v>
      </c>
      <c r="D3" s="240" t="s">
        <v>636</v>
      </c>
      <c r="E3" s="221"/>
      <c r="F3" s="221"/>
      <c r="G3" s="221"/>
      <c r="H3" s="221"/>
      <c r="I3" s="221"/>
      <c r="J3" s="221"/>
      <c r="K3" s="439"/>
    </row>
    <row r="4" spans="1:11" ht="17.100000000000001" customHeight="1">
      <c r="A4" s="438"/>
      <c r="B4" s="425"/>
      <c r="C4" s="441"/>
      <c r="D4" s="240" t="s">
        <v>635</v>
      </c>
      <c r="E4" s="221"/>
      <c r="F4" s="221"/>
      <c r="G4" s="221"/>
      <c r="H4" s="221"/>
      <c r="I4" s="221"/>
      <c r="J4" s="221"/>
      <c r="K4" s="439"/>
    </row>
    <row r="5" spans="1:11" ht="20.100000000000001" customHeight="1">
      <c r="A5" s="438"/>
      <c r="B5" s="425" t="s">
        <v>630</v>
      </c>
      <c r="C5" s="440" t="s">
        <v>645</v>
      </c>
      <c r="D5" s="240" t="s">
        <v>636</v>
      </c>
      <c r="E5" s="221"/>
      <c r="F5" s="221"/>
      <c r="G5" s="221"/>
      <c r="H5" s="221"/>
      <c r="I5" s="221"/>
      <c r="J5" s="221"/>
      <c r="K5" s="439"/>
    </row>
    <row r="6" spans="1:11" ht="20.100000000000001" customHeight="1">
      <c r="A6" s="438"/>
      <c r="B6" s="425"/>
      <c r="C6" s="441"/>
      <c r="D6" s="240" t="s">
        <v>635</v>
      </c>
      <c r="E6" s="221"/>
      <c r="F6" s="221"/>
      <c r="G6" s="221"/>
      <c r="H6" s="221"/>
      <c r="I6" s="221"/>
      <c r="J6" s="221"/>
      <c r="K6" s="439"/>
    </row>
    <row r="7" spans="1:11" ht="20.100000000000001" customHeight="1">
      <c r="A7" s="438"/>
      <c r="B7" s="425" t="s">
        <v>631</v>
      </c>
      <c r="C7" s="440" t="s">
        <v>646</v>
      </c>
      <c r="D7" s="240" t="s">
        <v>636</v>
      </c>
      <c r="E7" s="221"/>
      <c r="F7" s="221"/>
      <c r="G7" s="221"/>
      <c r="H7" s="221"/>
      <c r="I7" s="221"/>
      <c r="J7" s="221"/>
      <c r="K7" s="439"/>
    </row>
    <row r="8" spans="1:11" ht="20.100000000000001" customHeight="1">
      <c r="A8" s="438"/>
      <c r="B8" s="425"/>
      <c r="C8" s="441"/>
      <c r="D8" s="240" t="s">
        <v>635</v>
      </c>
      <c r="E8" s="221"/>
      <c r="F8" s="221"/>
      <c r="G8" s="221"/>
      <c r="H8" s="221"/>
      <c r="I8" s="221"/>
      <c r="J8" s="221"/>
      <c r="K8" s="439"/>
    </row>
    <row r="9" spans="1:11" ht="17.100000000000001" customHeight="1">
      <c r="A9" s="438"/>
      <c r="B9" s="425" t="s">
        <v>642</v>
      </c>
      <c r="C9" s="440" t="s">
        <v>647</v>
      </c>
      <c r="D9" s="240" t="s">
        <v>636</v>
      </c>
      <c r="E9" s="221"/>
      <c r="F9" s="221"/>
      <c r="G9" s="221"/>
      <c r="H9" s="221"/>
      <c r="I9" s="221"/>
      <c r="J9" s="221"/>
      <c r="K9" s="439"/>
    </row>
    <row r="10" spans="1:11" ht="17.100000000000001" customHeight="1">
      <c r="A10" s="438"/>
      <c r="B10" s="425"/>
      <c r="C10" s="441"/>
      <c r="D10" s="240" t="s">
        <v>635</v>
      </c>
      <c r="E10" s="221"/>
      <c r="F10" s="221"/>
      <c r="G10" s="221"/>
      <c r="H10" s="221"/>
      <c r="I10" s="221"/>
      <c r="J10" s="221"/>
      <c r="K10" s="439"/>
    </row>
    <row r="11" spans="1:11" ht="20.100000000000001" customHeight="1">
      <c r="A11" s="438"/>
      <c r="B11" s="425" t="s">
        <v>643</v>
      </c>
      <c r="C11" s="440" t="s">
        <v>648</v>
      </c>
      <c r="D11" s="240" t="s">
        <v>636</v>
      </c>
      <c r="E11" s="221"/>
      <c r="F11" s="221"/>
      <c r="G11" s="221"/>
      <c r="H11" s="221"/>
      <c r="I11" s="221"/>
      <c r="J11" s="221"/>
      <c r="K11" s="439"/>
    </row>
    <row r="12" spans="1:11" ht="20.100000000000001" customHeight="1">
      <c r="A12" s="438"/>
      <c r="B12" s="425"/>
      <c r="C12" s="441"/>
      <c r="D12" s="240" t="s">
        <v>635</v>
      </c>
      <c r="E12" s="221"/>
      <c r="F12" s="221"/>
      <c r="G12" s="221"/>
      <c r="H12" s="221"/>
      <c r="I12" s="221"/>
      <c r="J12" s="221"/>
      <c r="K12" s="439"/>
    </row>
    <row r="13" spans="1:11" ht="17.100000000000001" customHeight="1">
      <c r="A13" s="438"/>
      <c r="B13" s="425" t="s">
        <v>656</v>
      </c>
      <c r="C13" s="440" t="s">
        <v>649</v>
      </c>
      <c r="D13" s="240" t="s">
        <v>636</v>
      </c>
      <c r="E13" s="221"/>
      <c r="F13" s="221"/>
      <c r="G13" s="221"/>
      <c r="H13" s="221"/>
      <c r="I13" s="221"/>
      <c r="J13" s="221"/>
      <c r="K13" s="439"/>
    </row>
    <row r="14" spans="1:11" ht="17.100000000000001" customHeight="1">
      <c r="A14" s="438"/>
      <c r="B14" s="425"/>
      <c r="C14" s="441"/>
      <c r="D14" s="240" t="s">
        <v>635</v>
      </c>
      <c r="E14" s="221"/>
      <c r="F14" s="221"/>
      <c r="G14" s="221"/>
      <c r="H14" s="221"/>
      <c r="I14" s="221"/>
      <c r="J14" s="221"/>
      <c r="K14" s="439"/>
    </row>
    <row r="15" spans="1:11" ht="17.100000000000001" customHeight="1">
      <c r="A15" s="438"/>
      <c r="B15" s="425" t="s">
        <v>657</v>
      </c>
      <c r="C15" s="440" t="s">
        <v>650</v>
      </c>
      <c r="D15" s="240" t="s">
        <v>636</v>
      </c>
      <c r="E15" s="221"/>
      <c r="F15" s="221"/>
      <c r="G15" s="221"/>
      <c r="H15" s="221"/>
      <c r="I15" s="221"/>
      <c r="J15" s="221"/>
      <c r="K15" s="439"/>
    </row>
    <row r="16" spans="1:11" ht="17.100000000000001" customHeight="1">
      <c r="A16" s="438"/>
      <c r="B16" s="425"/>
      <c r="C16" s="441"/>
      <c r="D16" s="240" t="s">
        <v>635</v>
      </c>
      <c r="E16" s="221"/>
      <c r="F16" s="221"/>
      <c r="G16" s="221"/>
      <c r="H16" s="221"/>
      <c r="I16" s="221"/>
      <c r="J16" s="221"/>
      <c r="K16" s="439"/>
    </row>
    <row r="17" spans="1:11" ht="17.100000000000001" customHeight="1">
      <c r="A17" s="438"/>
      <c r="B17" s="425" t="s">
        <v>658</v>
      </c>
      <c r="C17" s="440" t="s">
        <v>651</v>
      </c>
      <c r="D17" s="240" t="s">
        <v>636</v>
      </c>
      <c r="E17" s="221"/>
      <c r="F17" s="221"/>
      <c r="G17" s="221"/>
      <c r="H17" s="221"/>
      <c r="I17" s="221"/>
      <c r="J17" s="221"/>
      <c r="K17" s="439"/>
    </row>
    <row r="18" spans="1:11" ht="17.100000000000001" customHeight="1">
      <c r="A18" s="438"/>
      <c r="B18" s="425"/>
      <c r="C18" s="441"/>
      <c r="D18" s="240" t="s">
        <v>635</v>
      </c>
      <c r="E18" s="221"/>
      <c r="F18" s="221"/>
      <c r="G18" s="221"/>
      <c r="H18" s="221"/>
      <c r="I18" s="221"/>
      <c r="J18" s="221"/>
      <c r="K18" s="439"/>
    </row>
    <row r="19" spans="1:11" ht="20.100000000000001" customHeight="1">
      <c r="A19" s="438"/>
      <c r="B19" s="425" t="s">
        <v>659</v>
      </c>
      <c r="C19" s="440" t="s">
        <v>1407</v>
      </c>
      <c r="D19" s="240" t="s">
        <v>636</v>
      </c>
      <c r="E19" s="221"/>
      <c r="F19" s="221"/>
      <c r="G19" s="221"/>
      <c r="H19" s="221"/>
      <c r="I19" s="221"/>
      <c r="J19" s="221"/>
      <c r="K19" s="439"/>
    </row>
    <row r="20" spans="1:11" ht="20.100000000000001" customHeight="1">
      <c r="A20" s="438"/>
      <c r="B20" s="425"/>
      <c r="C20" s="441"/>
      <c r="D20" s="240" t="s">
        <v>635</v>
      </c>
      <c r="E20" s="221"/>
      <c r="F20" s="221"/>
      <c r="G20" s="221"/>
      <c r="H20" s="221"/>
      <c r="I20" s="221"/>
      <c r="J20" s="221"/>
      <c r="K20" s="439"/>
    </row>
    <row r="21" spans="1:11" ht="17.100000000000001" customHeight="1">
      <c r="A21" s="438"/>
      <c r="B21" s="425" t="s">
        <v>660</v>
      </c>
      <c r="C21" s="440" t="s">
        <v>653</v>
      </c>
      <c r="D21" s="240" t="s">
        <v>636</v>
      </c>
      <c r="E21" s="221"/>
      <c r="F21" s="221"/>
      <c r="G21" s="221"/>
      <c r="H21" s="221"/>
      <c r="I21" s="221"/>
      <c r="J21" s="221"/>
      <c r="K21" s="439"/>
    </row>
    <row r="22" spans="1:11" ht="17.100000000000001" customHeight="1">
      <c r="A22" s="438"/>
      <c r="B22" s="425"/>
      <c r="C22" s="441"/>
      <c r="D22" s="240" t="s">
        <v>635</v>
      </c>
      <c r="E22" s="221"/>
      <c r="F22" s="221"/>
      <c r="G22" s="221"/>
      <c r="H22" s="221"/>
      <c r="I22" s="221"/>
      <c r="J22" s="221"/>
      <c r="K22" s="439"/>
    </row>
    <row r="23" spans="1:11" ht="17.100000000000001" customHeight="1">
      <c r="A23" s="438"/>
      <c r="B23" s="425" t="s">
        <v>661</v>
      </c>
      <c r="C23" s="440" t="s">
        <v>654</v>
      </c>
      <c r="D23" s="240" t="s">
        <v>636</v>
      </c>
      <c r="E23" s="221"/>
      <c r="F23" s="221"/>
      <c r="G23" s="221"/>
      <c r="H23" s="221"/>
      <c r="I23" s="221"/>
      <c r="J23" s="221"/>
      <c r="K23" s="439"/>
    </row>
    <row r="24" spans="1:11" ht="17.100000000000001" customHeight="1">
      <c r="A24" s="438"/>
      <c r="B24" s="425"/>
      <c r="C24" s="441"/>
      <c r="D24" s="240" t="s">
        <v>635</v>
      </c>
      <c r="E24" s="221"/>
      <c r="F24" s="221"/>
      <c r="G24" s="221"/>
      <c r="H24" s="221"/>
      <c r="I24" s="221"/>
      <c r="J24" s="221"/>
      <c r="K24" s="439"/>
    </row>
    <row r="25" spans="1:11" ht="17.100000000000001" customHeight="1">
      <c r="A25" s="438"/>
      <c r="B25" s="425" t="s">
        <v>662</v>
      </c>
      <c r="C25" s="440" t="s">
        <v>655</v>
      </c>
      <c r="D25" s="240" t="s">
        <v>636</v>
      </c>
      <c r="E25" s="221"/>
      <c r="F25" s="221"/>
      <c r="G25" s="221"/>
      <c r="H25" s="221"/>
      <c r="I25" s="221"/>
      <c r="J25" s="221"/>
      <c r="K25" s="439"/>
    </row>
    <row r="26" spans="1:11" ht="17.100000000000001" customHeight="1">
      <c r="A26" s="438"/>
      <c r="B26" s="425"/>
      <c r="C26" s="441"/>
      <c r="D26" s="240" t="s">
        <v>635</v>
      </c>
      <c r="E26" s="221"/>
      <c r="F26" s="221"/>
      <c r="G26" s="221"/>
      <c r="H26" s="221"/>
      <c r="I26" s="221"/>
      <c r="J26" s="221"/>
      <c r="K26" s="439"/>
    </row>
    <row r="27" spans="1:11" ht="51" customHeight="1">
      <c r="A27" s="397"/>
      <c r="B27" s="398"/>
      <c r="C27" s="398"/>
      <c r="D27" s="398"/>
      <c r="E27" s="398"/>
      <c r="F27" s="398"/>
      <c r="G27" s="398"/>
      <c r="H27" s="398"/>
      <c r="I27" s="398"/>
      <c r="J27" s="398"/>
      <c r="K27" s="399"/>
    </row>
    <row r="28" spans="1:11" ht="45" customHeight="1"/>
    <row r="29" spans="1:11" ht="45" customHeight="1"/>
    <row r="30" spans="1:11" ht="45" customHeight="1"/>
    <row r="31" spans="1:11" ht="45" customHeight="1"/>
    <row r="32" spans="1:11" ht="45" customHeight="1"/>
    <row r="33" ht="45" customHeight="1"/>
    <row r="34" ht="45" customHeight="1"/>
    <row r="35" ht="45" customHeight="1"/>
    <row r="36" ht="45" customHeight="1"/>
    <row r="37" ht="45" customHeight="1"/>
    <row r="38" ht="45" customHeight="1"/>
    <row r="39" ht="45" customHeight="1"/>
    <row r="40" ht="45" customHeight="1"/>
    <row r="41" ht="45" customHeight="1"/>
    <row r="42" ht="45" customHeight="1"/>
    <row r="43" ht="45" customHeight="1"/>
    <row r="44" ht="45" customHeight="1"/>
    <row r="45" ht="45" customHeight="1"/>
    <row r="46" ht="45" customHeight="1"/>
  </sheetData>
  <mergeCells count="28">
    <mergeCell ref="A27:K27"/>
    <mergeCell ref="C5:C6"/>
    <mergeCell ref="C7:C8"/>
    <mergeCell ref="C9:C10"/>
    <mergeCell ref="C11:C12"/>
    <mergeCell ref="C13:C14"/>
    <mergeCell ref="C15:C16"/>
    <mergeCell ref="B15:B16"/>
    <mergeCell ref="C17:C18"/>
    <mergeCell ref="C19:C20"/>
    <mergeCell ref="C21:C22"/>
    <mergeCell ref="C23:C24"/>
    <mergeCell ref="B5:B6"/>
    <mergeCell ref="B7:B8"/>
    <mergeCell ref="B9:B10"/>
    <mergeCell ref="B11:B12"/>
    <mergeCell ref="A1:K1"/>
    <mergeCell ref="A2:A26"/>
    <mergeCell ref="K2:K26"/>
    <mergeCell ref="B3:B4"/>
    <mergeCell ref="C3:C4"/>
    <mergeCell ref="C25:C26"/>
    <mergeCell ref="B13:B14"/>
    <mergeCell ref="B17:B18"/>
    <mergeCell ref="B19:B20"/>
    <mergeCell ref="B21:B22"/>
    <mergeCell ref="B23:B24"/>
    <mergeCell ref="B25:B26"/>
  </mergeCells>
  <pageMargins left="0.7" right="0.7" top="0.75" bottom="0.75" header="0.3" footer="0.3"/>
  <pageSetup paperSize="9" orientation="portrait" r:id="rId1"/>
  <ignoredErrors>
    <ignoredError sqref="B3 B5:B26" numberStoredAsText="1"/>
  </ignoredErrors>
  <drawing r:id="rId2"/>
  <legacy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rightToLeft="1" workbookViewId="0">
      <pane xSplit="8" topLeftCell="I1" activePane="topRight" state="frozen"/>
      <selection pane="topRight" sqref="A1:H1"/>
    </sheetView>
  </sheetViews>
  <sheetFormatPr defaultColWidth="25" defaultRowHeight="54.95" customHeight="1"/>
  <cols>
    <col min="1" max="1" width="12.5" style="147" customWidth="1"/>
    <col min="2" max="2" width="10.1640625" style="147" customWidth="1"/>
    <col min="3" max="3" width="15.83203125" style="147" customWidth="1"/>
    <col min="4" max="4" width="45.83203125" style="147" customWidth="1"/>
    <col min="5" max="5" width="24.1640625" style="147" customWidth="1"/>
    <col min="6" max="6" width="21.5" style="147" customWidth="1"/>
    <col min="7" max="7" width="21.33203125" style="147" customWidth="1"/>
    <col min="8" max="8" width="12.5" style="147" customWidth="1"/>
    <col min="9" max="9" width="0" style="159" hidden="1" customWidth="1"/>
    <col min="10" max="254" width="25" style="147"/>
    <col min="255" max="255" width="4.33203125" style="147" customWidth="1"/>
    <col min="256" max="256" width="12.5" style="147" customWidth="1"/>
    <col min="257" max="258" width="10.1640625" style="147" customWidth="1"/>
    <col min="259" max="259" width="47.5" style="147" customWidth="1"/>
    <col min="260" max="262" width="24.1640625" style="147" customWidth="1"/>
    <col min="263" max="263" width="12.5" style="147" customWidth="1"/>
    <col min="264" max="510" width="25" style="147"/>
    <col min="511" max="511" width="4.33203125" style="147" customWidth="1"/>
    <col min="512" max="512" width="12.5" style="147" customWidth="1"/>
    <col min="513" max="514" width="10.1640625" style="147" customWidth="1"/>
    <col min="515" max="515" width="47.5" style="147" customWidth="1"/>
    <col min="516" max="518" width="24.1640625" style="147" customWidth="1"/>
    <col min="519" max="519" width="12.5" style="147" customWidth="1"/>
    <col min="520" max="766" width="25" style="147"/>
    <col min="767" max="767" width="4.33203125" style="147" customWidth="1"/>
    <col min="768" max="768" width="12.5" style="147" customWidth="1"/>
    <col min="769" max="770" width="10.1640625" style="147" customWidth="1"/>
    <col min="771" max="771" width="47.5" style="147" customWidth="1"/>
    <col min="772" max="774" width="24.1640625" style="147" customWidth="1"/>
    <col min="775" max="775" width="12.5" style="147" customWidth="1"/>
    <col min="776" max="1022" width="25" style="147"/>
    <col min="1023" max="1023" width="4.33203125" style="147" customWidth="1"/>
    <col min="1024" max="1024" width="12.5" style="147" customWidth="1"/>
    <col min="1025" max="1026" width="10.1640625" style="147" customWidth="1"/>
    <col min="1027" max="1027" width="47.5" style="147" customWidth="1"/>
    <col min="1028" max="1030" width="24.1640625" style="147" customWidth="1"/>
    <col min="1031" max="1031" width="12.5" style="147" customWidth="1"/>
    <col min="1032" max="1278" width="25" style="147"/>
    <col min="1279" max="1279" width="4.33203125" style="147" customWidth="1"/>
    <col min="1280" max="1280" width="12.5" style="147" customWidth="1"/>
    <col min="1281" max="1282" width="10.1640625" style="147" customWidth="1"/>
    <col min="1283" max="1283" width="47.5" style="147" customWidth="1"/>
    <col min="1284" max="1286" width="24.1640625" style="147" customWidth="1"/>
    <col min="1287" max="1287" width="12.5" style="147" customWidth="1"/>
    <col min="1288" max="1534" width="25" style="147"/>
    <col min="1535" max="1535" width="4.33203125" style="147" customWidth="1"/>
    <col min="1536" max="1536" width="12.5" style="147" customWidth="1"/>
    <col min="1537" max="1538" width="10.1640625" style="147" customWidth="1"/>
    <col min="1539" max="1539" width="47.5" style="147" customWidth="1"/>
    <col min="1540" max="1542" width="24.1640625" style="147" customWidth="1"/>
    <col min="1543" max="1543" width="12.5" style="147" customWidth="1"/>
    <col min="1544" max="1790" width="25" style="147"/>
    <col min="1791" max="1791" width="4.33203125" style="147" customWidth="1"/>
    <col min="1792" max="1792" width="12.5" style="147" customWidth="1"/>
    <col min="1793" max="1794" width="10.1640625" style="147" customWidth="1"/>
    <col min="1795" max="1795" width="47.5" style="147" customWidth="1"/>
    <col min="1796" max="1798" width="24.1640625" style="147" customWidth="1"/>
    <col min="1799" max="1799" width="12.5" style="147" customWidth="1"/>
    <col min="1800" max="2046" width="25" style="147"/>
    <col min="2047" max="2047" width="4.33203125" style="147" customWidth="1"/>
    <col min="2048" max="2048" width="12.5" style="147" customWidth="1"/>
    <col min="2049" max="2050" width="10.1640625" style="147" customWidth="1"/>
    <col min="2051" max="2051" width="47.5" style="147" customWidth="1"/>
    <col min="2052" max="2054" width="24.1640625" style="147" customWidth="1"/>
    <col min="2055" max="2055" width="12.5" style="147" customWidth="1"/>
    <col min="2056" max="2302" width="25" style="147"/>
    <col min="2303" max="2303" width="4.33203125" style="147" customWidth="1"/>
    <col min="2304" max="2304" width="12.5" style="147" customWidth="1"/>
    <col min="2305" max="2306" width="10.1640625" style="147" customWidth="1"/>
    <col min="2307" max="2307" width="47.5" style="147" customWidth="1"/>
    <col min="2308" max="2310" width="24.1640625" style="147" customWidth="1"/>
    <col min="2311" max="2311" width="12.5" style="147" customWidth="1"/>
    <col min="2312" max="2558" width="25" style="147"/>
    <col min="2559" max="2559" width="4.33203125" style="147" customWidth="1"/>
    <col min="2560" max="2560" width="12.5" style="147" customWidth="1"/>
    <col min="2561" max="2562" width="10.1640625" style="147" customWidth="1"/>
    <col min="2563" max="2563" width="47.5" style="147" customWidth="1"/>
    <col min="2564" max="2566" width="24.1640625" style="147" customWidth="1"/>
    <col min="2567" max="2567" width="12.5" style="147" customWidth="1"/>
    <col min="2568" max="2814" width="25" style="147"/>
    <col min="2815" max="2815" width="4.33203125" style="147" customWidth="1"/>
    <col min="2816" max="2816" width="12.5" style="147" customWidth="1"/>
    <col min="2817" max="2818" width="10.1640625" style="147" customWidth="1"/>
    <col min="2819" max="2819" width="47.5" style="147" customWidth="1"/>
    <col min="2820" max="2822" width="24.1640625" style="147" customWidth="1"/>
    <col min="2823" max="2823" width="12.5" style="147" customWidth="1"/>
    <col min="2824" max="3070" width="25" style="147"/>
    <col min="3071" max="3071" width="4.33203125" style="147" customWidth="1"/>
    <col min="3072" max="3072" width="12.5" style="147" customWidth="1"/>
    <col min="3073" max="3074" width="10.1640625" style="147" customWidth="1"/>
    <col min="3075" max="3075" width="47.5" style="147" customWidth="1"/>
    <col min="3076" max="3078" width="24.1640625" style="147" customWidth="1"/>
    <col min="3079" max="3079" width="12.5" style="147" customWidth="1"/>
    <col min="3080" max="3326" width="25" style="147"/>
    <col min="3327" max="3327" width="4.33203125" style="147" customWidth="1"/>
    <col min="3328" max="3328" width="12.5" style="147" customWidth="1"/>
    <col min="3329" max="3330" width="10.1640625" style="147" customWidth="1"/>
    <col min="3331" max="3331" width="47.5" style="147" customWidth="1"/>
    <col min="3332" max="3334" width="24.1640625" style="147" customWidth="1"/>
    <col min="3335" max="3335" width="12.5" style="147" customWidth="1"/>
    <col min="3336" max="3582" width="25" style="147"/>
    <col min="3583" max="3583" width="4.33203125" style="147" customWidth="1"/>
    <col min="3584" max="3584" width="12.5" style="147" customWidth="1"/>
    <col min="3585" max="3586" width="10.1640625" style="147" customWidth="1"/>
    <col min="3587" max="3587" width="47.5" style="147" customWidth="1"/>
    <col min="3588" max="3590" width="24.1640625" style="147" customWidth="1"/>
    <col min="3591" max="3591" width="12.5" style="147" customWidth="1"/>
    <col min="3592" max="3838" width="25" style="147"/>
    <col min="3839" max="3839" width="4.33203125" style="147" customWidth="1"/>
    <col min="3840" max="3840" width="12.5" style="147" customWidth="1"/>
    <col min="3841" max="3842" width="10.1640625" style="147" customWidth="1"/>
    <col min="3843" max="3843" width="47.5" style="147" customWidth="1"/>
    <col min="3844" max="3846" width="24.1640625" style="147" customWidth="1"/>
    <col min="3847" max="3847" width="12.5" style="147" customWidth="1"/>
    <col min="3848" max="4094" width="25" style="147"/>
    <col min="4095" max="4095" width="4.33203125" style="147" customWidth="1"/>
    <col min="4096" max="4096" width="12.5" style="147" customWidth="1"/>
    <col min="4097" max="4098" width="10.1640625" style="147" customWidth="1"/>
    <col min="4099" max="4099" width="47.5" style="147" customWidth="1"/>
    <col min="4100" max="4102" width="24.1640625" style="147" customWidth="1"/>
    <col min="4103" max="4103" width="12.5" style="147" customWidth="1"/>
    <col min="4104" max="4350" width="25" style="147"/>
    <col min="4351" max="4351" width="4.33203125" style="147" customWidth="1"/>
    <col min="4352" max="4352" width="12.5" style="147" customWidth="1"/>
    <col min="4353" max="4354" width="10.1640625" style="147" customWidth="1"/>
    <col min="4355" max="4355" width="47.5" style="147" customWidth="1"/>
    <col min="4356" max="4358" width="24.1640625" style="147" customWidth="1"/>
    <col min="4359" max="4359" width="12.5" style="147" customWidth="1"/>
    <col min="4360" max="4606" width="25" style="147"/>
    <col min="4607" max="4607" width="4.33203125" style="147" customWidth="1"/>
    <col min="4608" max="4608" width="12.5" style="147" customWidth="1"/>
    <col min="4609" max="4610" width="10.1640625" style="147" customWidth="1"/>
    <col min="4611" max="4611" width="47.5" style="147" customWidth="1"/>
    <col min="4612" max="4614" width="24.1640625" style="147" customWidth="1"/>
    <col min="4615" max="4615" width="12.5" style="147" customWidth="1"/>
    <col min="4616" max="4862" width="25" style="147"/>
    <col min="4863" max="4863" width="4.33203125" style="147" customWidth="1"/>
    <col min="4864" max="4864" width="12.5" style="147" customWidth="1"/>
    <col min="4865" max="4866" width="10.1640625" style="147" customWidth="1"/>
    <col min="4867" max="4867" width="47.5" style="147" customWidth="1"/>
    <col min="4868" max="4870" width="24.1640625" style="147" customWidth="1"/>
    <col min="4871" max="4871" width="12.5" style="147" customWidth="1"/>
    <col min="4872" max="5118" width="25" style="147"/>
    <col min="5119" max="5119" width="4.33203125" style="147" customWidth="1"/>
    <col min="5120" max="5120" width="12.5" style="147" customWidth="1"/>
    <col min="5121" max="5122" width="10.1640625" style="147" customWidth="1"/>
    <col min="5123" max="5123" width="47.5" style="147" customWidth="1"/>
    <col min="5124" max="5126" width="24.1640625" style="147" customWidth="1"/>
    <col min="5127" max="5127" width="12.5" style="147" customWidth="1"/>
    <col min="5128" max="5374" width="25" style="147"/>
    <col min="5375" max="5375" width="4.33203125" style="147" customWidth="1"/>
    <col min="5376" max="5376" width="12.5" style="147" customWidth="1"/>
    <col min="5377" max="5378" width="10.1640625" style="147" customWidth="1"/>
    <col min="5379" max="5379" width="47.5" style="147" customWidth="1"/>
    <col min="5380" max="5382" width="24.1640625" style="147" customWidth="1"/>
    <col min="5383" max="5383" width="12.5" style="147" customWidth="1"/>
    <col min="5384" max="5630" width="25" style="147"/>
    <col min="5631" max="5631" width="4.33203125" style="147" customWidth="1"/>
    <col min="5632" max="5632" width="12.5" style="147" customWidth="1"/>
    <col min="5633" max="5634" width="10.1640625" style="147" customWidth="1"/>
    <col min="5635" max="5635" width="47.5" style="147" customWidth="1"/>
    <col min="5636" max="5638" width="24.1640625" style="147" customWidth="1"/>
    <col min="5639" max="5639" width="12.5" style="147" customWidth="1"/>
    <col min="5640" max="5886" width="25" style="147"/>
    <col min="5887" max="5887" width="4.33203125" style="147" customWidth="1"/>
    <col min="5888" max="5888" width="12.5" style="147" customWidth="1"/>
    <col min="5889" max="5890" width="10.1640625" style="147" customWidth="1"/>
    <col min="5891" max="5891" width="47.5" style="147" customWidth="1"/>
    <col min="5892" max="5894" width="24.1640625" style="147" customWidth="1"/>
    <col min="5895" max="5895" width="12.5" style="147" customWidth="1"/>
    <col min="5896" max="6142" width="25" style="147"/>
    <col min="6143" max="6143" width="4.33203125" style="147" customWidth="1"/>
    <col min="6144" max="6144" width="12.5" style="147" customWidth="1"/>
    <col min="6145" max="6146" width="10.1640625" style="147" customWidth="1"/>
    <col min="6147" max="6147" width="47.5" style="147" customWidth="1"/>
    <col min="6148" max="6150" width="24.1640625" style="147" customWidth="1"/>
    <col min="6151" max="6151" width="12.5" style="147" customWidth="1"/>
    <col min="6152" max="6398" width="25" style="147"/>
    <col min="6399" max="6399" width="4.33203125" style="147" customWidth="1"/>
    <col min="6400" max="6400" width="12.5" style="147" customWidth="1"/>
    <col min="6401" max="6402" width="10.1640625" style="147" customWidth="1"/>
    <col min="6403" max="6403" width="47.5" style="147" customWidth="1"/>
    <col min="6404" max="6406" width="24.1640625" style="147" customWidth="1"/>
    <col min="6407" max="6407" width="12.5" style="147" customWidth="1"/>
    <col min="6408" max="6654" width="25" style="147"/>
    <col min="6655" max="6655" width="4.33203125" style="147" customWidth="1"/>
    <col min="6656" max="6656" width="12.5" style="147" customWidth="1"/>
    <col min="6657" max="6658" width="10.1640625" style="147" customWidth="1"/>
    <col min="6659" max="6659" width="47.5" style="147" customWidth="1"/>
    <col min="6660" max="6662" width="24.1640625" style="147" customWidth="1"/>
    <col min="6663" max="6663" width="12.5" style="147" customWidth="1"/>
    <col min="6664" max="6910" width="25" style="147"/>
    <col min="6911" max="6911" width="4.33203125" style="147" customWidth="1"/>
    <col min="6912" max="6912" width="12.5" style="147" customWidth="1"/>
    <col min="6913" max="6914" width="10.1640625" style="147" customWidth="1"/>
    <col min="6915" max="6915" width="47.5" style="147" customWidth="1"/>
    <col min="6916" max="6918" width="24.1640625" style="147" customWidth="1"/>
    <col min="6919" max="6919" width="12.5" style="147" customWidth="1"/>
    <col min="6920" max="7166" width="25" style="147"/>
    <col min="7167" max="7167" width="4.33203125" style="147" customWidth="1"/>
    <col min="7168" max="7168" width="12.5" style="147" customWidth="1"/>
    <col min="7169" max="7170" width="10.1640625" style="147" customWidth="1"/>
    <col min="7171" max="7171" width="47.5" style="147" customWidth="1"/>
    <col min="7172" max="7174" width="24.1640625" style="147" customWidth="1"/>
    <col min="7175" max="7175" width="12.5" style="147" customWidth="1"/>
    <col min="7176" max="7422" width="25" style="147"/>
    <col min="7423" max="7423" width="4.33203125" style="147" customWidth="1"/>
    <col min="7424" max="7424" width="12.5" style="147" customWidth="1"/>
    <col min="7425" max="7426" width="10.1640625" style="147" customWidth="1"/>
    <col min="7427" max="7427" width="47.5" style="147" customWidth="1"/>
    <col min="7428" max="7430" width="24.1640625" style="147" customWidth="1"/>
    <col min="7431" max="7431" width="12.5" style="147" customWidth="1"/>
    <col min="7432" max="7678" width="25" style="147"/>
    <col min="7679" max="7679" width="4.33203125" style="147" customWidth="1"/>
    <col min="7680" max="7680" width="12.5" style="147" customWidth="1"/>
    <col min="7681" max="7682" width="10.1640625" style="147" customWidth="1"/>
    <col min="7683" max="7683" width="47.5" style="147" customWidth="1"/>
    <col min="7684" max="7686" width="24.1640625" style="147" customWidth="1"/>
    <col min="7687" max="7687" width="12.5" style="147" customWidth="1"/>
    <col min="7688" max="7934" width="25" style="147"/>
    <col min="7935" max="7935" width="4.33203125" style="147" customWidth="1"/>
    <col min="7936" max="7936" width="12.5" style="147" customWidth="1"/>
    <col min="7937" max="7938" width="10.1640625" style="147" customWidth="1"/>
    <col min="7939" max="7939" width="47.5" style="147" customWidth="1"/>
    <col min="7940" max="7942" width="24.1640625" style="147" customWidth="1"/>
    <col min="7943" max="7943" width="12.5" style="147" customWidth="1"/>
    <col min="7944" max="8190" width="25" style="147"/>
    <col min="8191" max="8191" width="4.33203125" style="147" customWidth="1"/>
    <col min="8192" max="8192" width="12.5" style="147" customWidth="1"/>
    <col min="8193" max="8194" width="10.1640625" style="147" customWidth="1"/>
    <col min="8195" max="8195" width="47.5" style="147" customWidth="1"/>
    <col min="8196" max="8198" width="24.1640625" style="147" customWidth="1"/>
    <col min="8199" max="8199" width="12.5" style="147" customWidth="1"/>
    <col min="8200" max="8446" width="25" style="147"/>
    <col min="8447" max="8447" width="4.33203125" style="147" customWidth="1"/>
    <col min="8448" max="8448" width="12.5" style="147" customWidth="1"/>
    <col min="8449" max="8450" width="10.1640625" style="147" customWidth="1"/>
    <col min="8451" max="8451" width="47.5" style="147" customWidth="1"/>
    <col min="8452" max="8454" width="24.1640625" style="147" customWidth="1"/>
    <col min="8455" max="8455" width="12.5" style="147" customWidth="1"/>
    <col min="8456" max="8702" width="25" style="147"/>
    <col min="8703" max="8703" width="4.33203125" style="147" customWidth="1"/>
    <col min="8704" max="8704" width="12.5" style="147" customWidth="1"/>
    <col min="8705" max="8706" width="10.1640625" style="147" customWidth="1"/>
    <col min="8707" max="8707" width="47.5" style="147" customWidth="1"/>
    <col min="8708" max="8710" width="24.1640625" style="147" customWidth="1"/>
    <col min="8711" max="8711" width="12.5" style="147" customWidth="1"/>
    <col min="8712" max="8958" width="25" style="147"/>
    <col min="8959" max="8959" width="4.33203125" style="147" customWidth="1"/>
    <col min="8960" max="8960" width="12.5" style="147" customWidth="1"/>
    <col min="8961" max="8962" width="10.1640625" style="147" customWidth="1"/>
    <col min="8963" max="8963" width="47.5" style="147" customWidth="1"/>
    <col min="8964" max="8966" width="24.1640625" style="147" customWidth="1"/>
    <col min="8967" max="8967" width="12.5" style="147" customWidth="1"/>
    <col min="8968" max="9214" width="25" style="147"/>
    <col min="9215" max="9215" width="4.33203125" style="147" customWidth="1"/>
    <col min="9216" max="9216" width="12.5" style="147" customWidth="1"/>
    <col min="9217" max="9218" width="10.1640625" style="147" customWidth="1"/>
    <col min="9219" max="9219" width="47.5" style="147" customWidth="1"/>
    <col min="9220" max="9222" width="24.1640625" style="147" customWidth="1"/>
    <col min="9223" max="9223" width="12.5" style="147" customWidth="1"/>
    <col min="9224" max="9470" width="25" style="147"/>
    <col min="9471" max="9471" width="4.33203125" style="147" customWidth="1"/>
    <col min="9472" max="9472" width="12.5" style="147" customWidth="1"/>
    <col min="9473" max="9474" width="10.1640625" style="147" customWidth="1"/>
    <col min="9475" max="9475" width="47.5" style="147" customWidth="1"/>
    <col min="9476" max="9478" width="24.1640625" style="147" customWidth="1"/>
    <col min="9479" max="9479" width="12.5" style="147" customWidth="1"/>
    <col min="9480" max="9726" width="25" style="147"/>
    <col min="9727" max="9727" width="4.33203125" style="147" customWidth="1"/>
    <col min="9728" max="9728" width="12.5" style="147" customWidth="1"/>
    <col min="9729" max="9730" width="10.1640625" style="147" customWidth="1"/>
    <col min="9731" max="9731" width="47.5" style="147" customWidth="1"/>
    <col min="9732" max="9734" width="24.1640625" style="147" customWidth="1"/>
    <col min="9735" max="9735" width="12.5" style="147" customWidth="1"/>
    <col min="9736" max="9982" width="25" style="147"/>
    <col min="9983" max="9983" width="4.33203125" style="147" customWidth="1"/>
    <col min="9984" max="9984" width="12.5" style="147" customWidth="1"/>
    <col min="9985" max="9986" width="10.1640625" style="147" customWidth="1"/>
    <col min="9987" max="9987" width="47.5" style="147" customWidth="1"/>
    <col min="9988" max="9990" width="24.1640625" style="147" customWidth="1"/>
    <col min="9991" max="9991" width="12.5" style="147" customWidth="1"/>
    <col min="9992" max="10238" width="25" style="147"/>
    <col min="10239" max="10239" width="4.33203125" style="147" customWidth="1"/>
    <col min="10240" max="10240" width="12.5" style="147" customWidth="1"/>
    <col min="10241" max="10242" width="10.1640625" style="147" customWidth="1"/>
    <col min="10243" max="10243" width="47.5" style="147" customWidth="1"/>
    <col min="10244" max="10246" width="24.1640625" style="147" customWidth="1"/>
    <col min="10247" max="10247" width="12.5" style="147" customWidth="1"/>
    <col min="10248" max="10494" width="25" style="147"/>
    <col min="10495" max="10495" width="4.33203125" style="147" customWidth="1"/>
    <col min="10496" max="10496" width="12.5" style="147" customWidth="1"/>
    <col min="10497" max="10498" width="10.1640625" style="147" customWidth="1"/>
    <col min="10499" max="10499" width="47.5" style="147" customWidth="1"/>
    <col min="10500" max="10502" width="24.1640625" style="147" customWidth="1"/>
    <col min="10503" max="10503" width="12.5" style="147" customWidth="1"/>
    <col min="10504" max="10750" width="25" style="147"/>
    <col min="10751" max="10751" width="4.33203125" style="147" customWidth="1"/>
    <col min="10752" max="10752" width="12.5" style="147" customWidth="1"/>
    <col min="10753" max="10754" width="10.1640625" style="147" customWidth="1"/>
    <col min="10755" max="10755" width="47.5" style="147" customWidth="1"/>
    <col min="10756" max="10758" width="24.1640625" style="147" customWidth="1"/>
    <col min="10759" max="10759" width="12.5" style="147" customWidth="1"/>
    <col min="10760" max="11006" width="25" style="147"/>
    <col min="11007" max="11007" width="4.33203125" style="147" customWidth="1"/>
    <col min="11008" max="11008" width="12.5" style="147" customWidth="1"/>
    <col min="11009" max="11010" width="10.1640625" style="147" customWidth="1"/>
    <col min="11011" max="11011" width="47.5" style="147" customWidth="1"/>
    <col min="11012" max="11014" width="24.1640625" style="147" customWidth="1"/>
    <col min="11015" max="11015" width="12.5" style="147" customWidth="1"/>
    <col min="11016" max="11262" width="25" style="147"/>
    <col min="11263" max="11263" width="4.33203125" style="147" customWidth="1"/>
    <col min="11264" max="11264" width="12.5" style="147" customWidth="1"/>
    <col min="11265" max="11266" width="10.1640625" style="147" customWidth="1"/>
    <col min="11267" max="11267" width="47.5" style="147" customWidth="1"/>
    <col min="11268" max="11270" width="24.1640625" style="147" customWidth="1"/>
    <col min="11271" max="11271" width="12.5" style="147" customWidth="1"/>
    <col min="11272" max="11518" width="25" style="147"/>
    <col min="11519" max="11519" width="4.33203125" style="147" customWidth="1"/>
    <col min="11520" max="11520" width="12.5" style="147" customWidth="1"/>
    <col min="11521" max="11522" width="10.1640625" style="147" customWidth="1"/>
    <col min="11523" max="11523" width="47.5" style="147" customWidth="1"/>
    <col min="11524" max="11526" width="24.1640625" style="147" customWidth="1"/>
    <col min="11527" max="11527" width="12.5" style="147" customWidth="1"/>
    <col min="11528" max="11774" width="25" style="147"/>
    <col min="11775" max="11775" width="4.33203125" style="147" customWidth="1"/>
    <col min="11776" max="11776" width="12.5" style="147" customWidth="1"/>
    <col min="11777" max="11778" width="10.1640625" style="147" customWidth="1"/>
    <col min="11779" max="11779" width="47.5" style="147" customWidth="1"/>
    <col min="11780" max="11782" width="24.1640625" style="147" customWidth="1"/>
    <col min="11783" max="11783" width="12.5" style="147" customWidth="1"/>
    <col min="11784" max="12030" width="25" style="147"/>
    <col min="12031" max="12031" width="4.33203125" style="147" customWidth="1"/>
    <col min="12032" max="12032" width="12.5" style="147" customWidth="1"/>
    <col min="12033" max="12034" width="10.1640625" style="147" customWidth="1"/>
    <col min="12035" max="12035" width="47.5" style="147" customWidth="1"/>
    <col min="12036" max="12038" width="24.1640625" style="147" customWidth="1"/>
    <col min="12039" max="12039" width="12.5" style="147" customWidth="1"/>
    <col min="12040" max="12286" width="25" style="147"/>
    <col min="12287" max="12287" width="4.33203125" style="147" customWidth="1"/>
    <col min="12288" max="12288" width="12.5" style="147" customWidth="1"/>
    <col min="12289" max="12290" width="10.1640625" style="147" customWidth="1"/>
    <col min="12291" max="12291" width="47.5" style="147" customWidth="1"/>
    <col min="12292" max="12294" width="24.1640625" style="147" customWidth="1"/>
    <col min="12295" max="12295" width="12.5" style="147" customWidth="1"/>
    <col min="12296" max="12542" width="25" style="147"/>
    <col min="12543" max="12543" width="4.33203125" style="147" customWidth="1"/>
    <col min="12544" max="12544" width="12.5" style="147" customWidth="1"/>
    <col min="12545" max="12546" width="10.1640625" style="147" customWidth="1"/>
    <col min="12547" max="12547" width="47.5" style="147" customWidth="1"/>
    <col min="12548" max="12550" width="24.1640625" style="147" customWidth="1"/>
    <col min="12551" max="12551" width="12.5" style="147" customWidth="1"/>
    <col min="12552" max="12798" width="25" style="147"/>
    <col min="12799" max="12799" width="4.33203125" style="147" customWidth="1"/>
    <col min="12800" max="12800" width="12.5" style="147" customWidth="1"/>
    <col min="12801" max="12802" width="10.1640625" style="147" customWidth="1"/>
    <col min="12803" max="12803" width="47.5" style="147" customWidth="1"/>
    <col min="12804" max="12806" width="24.1640625" style="147" customWidth="1"/>
    <col min="12807" max="12807" width="12.5" style="147" customWidth="1"/>
    <col min="12808" max="13054" width="25" style="147"/>
    <col min="13055" max="13055" width="4.33203125" style="147" customWidth="1"/>
    <col min="13056" max="13056" width="12.5" style="147" customWidth="1"/>
    <col min="13057" max="13058" width="10.1640625" style="147" customWidth="1"/>
    <col min="13059" max="13059" width="47.5" style="147" customWidth="1"/>
    <col min="13060" max="13062" width="24.1640625" style="147" customWidth="1"/>
    <col min="13063" max="13063" width="12.5" style="147" customWidth="1"/>
    <col min="13064" max="13310" width="25" style="147"/>
    <col min="13311" max="13311" width="4.33203125" style="147" customWidth="1"/>
    <col min="13312" max="13312" width="12.5" style="147" customWidth="1"/>
    <col min="13313" max="13314" width="10.1640625" style="147" customWidth="1"/>
    <col min="13315" max="13315" width="47.5" style="147" customWidth="1"/>
    <col min="13316" max="13318" width="24.1640625" style="147" customWidth="1"/>
    <col min="13319" max="13319" width="12.5" style="147" customWidth="1"/>
    <col min="13320" max="13566" width="25" style="147"/>
    <col min="13567" max="13567" width="4.33203125" style="147" customWidth="1"/>
    <col min="13568" max="13568" width="12.5" style="147" customWidth="1"/>
    <col min="13569" max="13570" width="10.1640625" style="147" customWidth="1"/>
    <col min="13571" max="13571" width="47.5" style="147" customWidth="1"/>
    <col min="13572" max="13574" width="24.1640625" style="147" customWidth="1"/>
    <col min="13575" max="13575" width="12.5" style="147" customWidth="1"/>
    <col min="13576" max="13822" width="25" style="147"/>
    <col min="13823" max="13823" width="4.33203125" style="147" customWidth="1"/>
    <col min="13824" max="13824" width="12.5" style="147" customWidth="1"/>
    <col min="13825" max="13826" width="10.1640625" style="147" customWidth="1"/>
    <col min="13827" max="13827" width="47.5" style="147" customWidth="1"/>
    <col min="13828" max="13830" width="24.1640625" style="147" customWidth="1"/>
    <col min="13831" max="13831" width="12.5" style="147" customWidth="1"/>
    <col min="13832" max="14078" width="25" style="147"/>
    <col min="14079" max="14079" width="4.33203125" style="147" customWidth="1"/>
    <col min="14080" max="14080" width="12.5" style="147" customWidth="1"/>
    <col min="14081" max="14082" width="10.1640625" style="147" customWidth="1"/>
    <col min="14083" max="14083" width="47.5" style="147" customWidth="1"/>
    <col min="14084" max="14086" width="24.1640625" style="147" customWidth="1"/>
    <col min="14087" max="14087" width="12.5" style="147" customWidth="1"/>
    <col min="14088" max="14334" width="25" style="147"/>
    <col min="14335" max="14335" width="4.33203125" style="147" customWidth="1"/>
    <col min="14336" max="14336" width="12.5" style="147" customWidth="1"/>
    <col min="14337" max="14338" width="10.1640625" style="147" customWidth="1"/>
    <col min="14339" max="14339" width="47.5" style="147" customWidth="1"/>
    <col min="14340" max="14342" width="24.1640625" style="147" customWidth="1"/>
    <col min="14343" max="14343" width="12.5" style="147" customWidth="1"/>
    <col min="14344" max="14590" width="25" style="147"/>
    <col min="14591" max="14591" width="4.33203125" style="147" customWidth="1"/>
    <col min="14592" max="14592" width="12.5" style="147" customWidth="1"/>
    <col min="14593" max="14594" width="10.1640625" style="147" customWidth="1"/>
    <col min="14595" max="14595" width="47.5" style="147" customWidth="1"/>
    <col min="14596" max="14598" width="24.1640625" style="147" customWidth="1"/>
    <col min="14599" max="14599" width="12.5" style="147" customWidth="1"/>
    <col min="14600" max="14846" width="25" style="147"/>
    <col min="14847" max="14847" width="4.33203125" style="147" customWidth="1"/>
    <col min="14848" max="14848" width="12.5" style="147" customWidth="1"/>
    <col min="14849" max="14850" width="10.1640625" style="147" customWidth="1"/>
    <col min="14851" max="14851" width="47.5" style="147" customWidth="1"/>
    <col min="14852" max="14854" width="24.1640625" style="147" customWidth="1"/>
    <col min="14855" max="14855" width="12.5" style="147" customWidth="1"/>
    <col min="14856" max="15102" width="25" style="147"/>
    <col min="15103" max="15103" width="4.33203125" style="147" customWidth="1"/>
    <col min="15104" max="15104" width="12.5" style="147" customWidth="1"/>
    <col min="15105" max="15106" width="10.1640625" style="147" customWidth="1"/>
    <col min="15107" max="15107" width="47.5" style="147" customWidth="1"/>
    <col min="15108" max="15110" width="24.1640625" style="147" customWidth="1"/>
    <col min="15111" max="15111" width="12.5" style="147" customWidth="1"/>
    <col min="15112" max="15358" width="25" style="147"/>
    <col min="15359" max="15359" width="4.33203125" style="147" customWidth="1"/>
    <col min="15360" max="15360" width="12.5" style="147" customWidth="1"/>
    <col min="15361" max="15362" width="10.1640625" style="147" customWidth="1"/>
    <col min="15363" max="15363" width="47.5" style="147" customWidth="1"/>
    <col min="15364" max="15366" width="24.1640625" style="147" customWidth="1"/>
    <col min="15367" max="15367" width="12.5" style="147" customWidth="1"/>
    <col min="15368" max="15614" width="25" style="147"/>
    <col min="15615" max="15615" width="4.33203125" style="147" customWidth="1"/>
    <col min="15616" max="15616" width="12.5" style="147" customWidth="1"/>
    <col min="15617" max="15618" width="10.1640625" style="147" customWidth="1"/>
    <col min="15619" max="15619" width="47.5" style="147" customWidth="1"/>
    <col min="15620" max="15622" width="24.1640625" style="147" customWidth="1"/>
    <col min="15623" max="15623" width="12.5" style="147" customWidth="1"/>
    <col min="15624" max="15870" width="25" style="147"/>
    <col min="15871" max="15871" width="4.33203125" style="147" customWidth="1"/>
    <col min="15872" max="15872" width="12.5" style="147" customWidth="1"/>
    <col min="15873" max="15874" width="10.1640625" style="147" customWidth="1"/>
    <col min="15875" max="15875" width="47.5" style="147" customWidth="1"/>
    <col min="15876" max="15878" width="24.1640625" style="147" customWidth="1"/>
    <col min="15879" max="15879" width="12.5" style="147" customWidth="1"/>
    <col min="15880" max="16126" width="25" style="147"/>
    <col min="16127" max="16127" width="4.33203125" style="147" customWidth="1"/>
    <col min="16128" max="16128" width="12.5" style="147" customWidth="1"/>
    <col min="16129" max="16130" width="10.1640625" style="147" customWidth="1"/>
    <col min="16131" max="16131" width="47.5" style="147" customWidth="1"/>
    <col min="16132" max="16134" width="24.1640625" style="147" customWidth="1"/>
    <col min="16135" max="16135" width="12.5" style="147" customWidth="1"/>
    <col min="16136" max="16384" width="25" style="147"/>
  </cols>
  <sheetData>
    <row r="1" spans="1:8" ht="35.1" customHeight="1">
      <c r="A1" s="405" t="s">
        <v>734</v>
      </c>
      <c r="B1" s="405"/>
      <c r="C1" s="405"/>
      <c r="D1" s="405"/>
      <c r="E1" s="405"/>
      <c r="F1" s="405"/>
      <c r="G1" s="405"/>
      <c r="H1" s="405"/>
    </row>
    <row r="2" spans="1:8" ht="35.1" customHeight="1">
      <c r="A2" s="405" t="s">
        <v>118</v>
      </c>
      <c r="B2" s="405"/>
      <c r="C2" s="405"/>
      <c r="D2" s="405"/>
      <c r="E2" s="405"/>
      <c r="F2" s="405"/>
      <c r="G2" s="405"/>
      <c r="H2" s="405"/>
    </row>
    <row r="3" spans="1:8" ht="45" customHeight="1">
      <c r="A3" s="405" t="s">
        <v>800</v>
      </c>
      <c r="B3" s="405"/>
      <c r="C3" s="405"/>
      <c r="D3" s="405"/>
      <c r="E3" s="405"/>
      <c r="F3" s="405"/>
      <c r="G3" s="405"/>
      <c r="H3" s="405"/>
    </row>
    <row r="4" spans="1:8" ht="35.1" customHeight="1">
      <c r="A4" s="405" t="s">
        <v>737</v>
      </c>
      <c r="B4" s="405"/>
      <c r="C4" s="405"/>
      <c r="D4" s="405"/>
      <c r="E4" s="405"/>
      <c r="F4" s="405"/>
      <c r="G4" s="405"/>
      <c r="H4" s="405"/>
    </row>
    <row r="5" spans="1:8" ht="24.95" customHeight="1">
      <c r="A5" s="404" t="s">
        <v>801</v>
      </c>
      <c r="B5" s="404"/>
      <c r="C5" s="404"/>
      <c r="D5" s="404"/>
      <c r="E5" s="404"/>
      <c r="F5" s="404"/>
      <c r="G5" s="404"/>
      <c r="H5" s="404"/>
    </row>
    <row r="6" spans="1:8" ht="24.95" customHeight="1">
      <c r="A6" s="404" t="s">
        <v>802</v>
      </c>
      <c r="B6" s="404"/>
      <c r="C6" s="404"/>
      <c r="D6" s="404"/>
      <c r="E6" s="404"/>
      <c r="F6" s="404"/>
      <c r="G6" s="404"/>
      <c r="H6" s="404"/>
    </row>
    <row r="7" spans="1:8" ht="24.95" customHeight="1">
      <c r="A7" s="404" t="s">
        <v>803</v>
      </c>
      <c r="B7" s="404"/>
      <c r="C7" s="404"/>
      <c r="D7" s="404"/>
      <c r="E7" s="404"/>
      <c r="F7" s="404"/>
      <c r="G7" s="404"/>
      <c r="H7" s="404"/>
    </row>
    <row r="8" spans="1:8" ht="24.95" customHeight="1">
      <c r="A8" s="404" t="s">
        <v>804</v>
      </c>
      <c r="B8" s="404"/>
      <c r="C8" s="404"/>
      <c r="D8" s="404"/>
      <c r="E8" s="404"/>
      <c r="F8" s="404"/>
      <c r="G8" s="404"/>
      <c r="H8" s="404"/>
    </row>
    <row r="9" spans="1:8" ht="24.95" customHeight="1">
      <c r="A9" s="404" t="s">
        <v>805</v>
      </c>
      <c r="B9" s="404"/>
      <c r="C9" s="404"/>
      <c r="D9" s="404"/>
      <c r="E9" s="404"/>
      <c r="F9" s="404"/>
      <c r="G9" s="404"/>
      <c r="H9" s="404"/>
    </row>
    <row r="10" spans="1:8" ht="24.95" customHeight="1">
      <c r="A10" s="404" t="s">
        <v>806</v>
      </c>
      <c r="B10" s="404"/>
      <c r="C10" s="404"/>
      <c r="D10" s="404"/>
      <c r="E10" s="404"/>
      <c r="F10" s="404"/>
      <c r="G10" s="404"/>
      <c r="H10" s="404"/>
    </row>
    <row r="11" spans="1:8" ht="24.95" customHeight="1">
      <c r="A11" s="404" t="s">
        <v>807</v>
      </c>
      <c r="B11" s="404"/>
      <c r="C11" s="404"/>
      <c r="D11" s="404"/>
      <c r="E11" s="404"/>
      <c r="F11" s="404"/>
      <c r="G11" s="404"/>
      <c r="H11" s="404"/>
    </row>
    <row r="12" spans="1:8" ht="24.95" customHeight="1">
      <c r="A12" s="404" t="s">
        <v>808</v>
      </c>
      <c r="B12" s="404"/>
      <c r="C12" s="404"/>
      <c r="D12" s="404"/>
      <c r="E12" s="404"/>
      <c r="F12" s="404"/>
      <c r="G12" s="404"/>
      <c r="H12" s="404"/>
    </row>
    <row r="13" spans="1:8" ht="24.95" customHeight="1">
      <c r="A13" s="404" t="s">
        <v>809</v>
      </c>
      <c r="B13" s="404"/>
      <c r="C13" s="404"/>
      <c r="D13" s="404"/>
      <c r="E13" s="404"/>
      <c r="F13" s="404"/>
      <c r="G13" s="404"/>
      <c r="H13" s="404"/>
    </row>
    <row r="14" spans="1:8" ht="24.95" customHeight="1">
      <c r="A14" s="404" t="s">
        <v>810</v>
      </c>
      <c r="B14" s="404"/>
      <c r="C14" s="404"/>
      <c r="D14" s="404"/>
      <c r="E14" s="404"/>
      <c r="F14" s="404"/>
      <c r="G14" s="404"/>
      <c r="H14" s="404"/>
    </row>
    <row r="15" spans="1:8" ht="24.95" customHeight="1">
      <c r="A15" s="404" t="s">
        <v>811</v>
      </c>
      <c r="B15" s="404"/>
      <c r="C15" s="404"/>
      <c r="D15" s="404"/>
      <c r="E15" s="404"/>
      <c r="F15" s="404"/>
      <c r="G15" s="404"/>
      <c r="H15" s="404"/>
    </row>
    <row r="16" spans="1:8" ht="24.95" customHeight="1">
      <c r="A16" s="404" t="s">
        <v>812</v>
      </c>
      <c r="B16" s="404"/>
      <c r="C16" s="404"/>
      <c r="D16" s="404"/>
      <c r="E16" s="404"/>
      <c r="F16" s="404"/>
      <c r="G16" s="404"/>
      <c r="H16" s="404"/>
    </row>
    <row r="17" spans="1:9" ht="24.95" customHeight="1">
      <c r="A17" s="404" t="s">
        <v>813</v>
      </c>
      <c r="B17" s="404"/>
      <c r="C17" s="404"/>
      <c r="D17" s="404"/>
      <c r="E17" s="404"/>
      <c r="F17" s="404"/>
      <c r="G17" s="404"/>
      <c r="H17" s="404"/>
    </row>
    <row r="18" spans="1:9" ht="24.95" customHeight="1">
      <c r="A18" s="404" t="s">
        <v>814</v>
      </c>
      <c r="B18" s="404"/>
      <c r="C18" s="404"/>
      <c r="D18" s="404"/>
      <c r="E18" s="404"/>
      <c r="F18" s="404"/>
      <c r="G18" s="404"/>
      <c r="H18" s="404"/>
    </row>
    <row r="19" spans="1:9" ht="24.95" customHeight="1">
      <c r="A19" s="404" t="s">
        <v>815</v>
      </c>
      <c r="B19" s="404"/>
      <c r="C19" s="404"/>
      <c r="D19" s="404"/>
      <c r="E19" s="404"/>
      <c r="F19" s="404"/>
      <c r="G19" s="404"/>
      <c r="H19" s="404"/>
    </row>
    <row r="20" spans="1:9" ht="24.95" customHeight="1">
      <c r="A20" s="404" t="s">
        <v>816</v>
      </c>
      <c r="B20" s="404"/>
      <c r="C20" s="404"/>
      <c r="D20" s="404"/>
      <c r="E20" s="404"/>
      <c r="F20" s="404"/>
      <c r="G20" s="404"/>
      <c r="H20" s="404"/>
    </row>
    <row r="21" spans="1:9" ht="24.95" customHeight="1">
      <c r="A21" s="404" t="s">
        <v>817</v>
      </c>
      <c r="B21" s="404"/>
      <c r="C21" s="404"/>
      <c r="D21" s="404"/>
      <c r="E21" s="404"/>
      <c r="F21" s="404"/>
      <c r="G21" s="404"/>
      <c r="H21" s="404"/>
    </row>
    <row r="22" spans="1:9" ht="24.95" customHeight="1">
      <c r="A22" s="404" t="s">
        <v>818</v>
      </c>
      <c r="B22" s="404"/>
      <c r="C22" s="404"/>
      <c r="D22" s="404"/>
      <c r="E22" s="404"/>
      <c r="F22" s="404"/>
      <c r="G22" s="404"/>
      <c r="H22" s="404"/>
    </row>
    <row r="23" spans="1:9" ht="24.95" customHeight="1">
      <c r="A23" s="404" t="s">
        <v>819</v>
      </c>
      <c r="B23" s="404"/>
      <c r="C23" s="404"/>
      <c r="D23" s="404"/>
      <c r="E23" s="404"/>
      <c r="F23" s="404"/>
      <c r="G23" s="404"/>
      <c r="H23" s="404"/>
    </row>
    <row r="24" spans="1:9" s="146" customFormat="1" ht="45" customHeight="1">
      <c r="A24" s="408"/>
      <c r="B24" s="222" t="s">
        <v>0</v>
      </c>
      <c r="C24" s="222"/>
      <c r="D24" s="222" t="s">
        <v>626</v>
      </c>
      <c r="E24" s="224" t="s">
        <v>820</v>
      </c>
      <c r="F24" s="224" t="s">
        <v>821</v>
      </c>
      <c r="G24" s="224" t="s">
        <v>822</v>
      </c>
      <c r="H24" s="409"/>
      <c r="I24" s="160">
        <f>F36+F38+F40+F42+F44+F48</f>
        <v>13.89</v>
      </c>
    </row>
    <row r="25" spans="1:9" s="146" customFormat="1" ht="20.100000000000001" customHeight="1">
      <c r="A25" s="408"/>
      <c r="B25" s="426" t="s">
        <v>823</v>
      </c>
      <c r="C25" s="442" t="s">
        <v>824</v>
      </c>
      <c r="D25" s="427" t="s">
        <v>644</v>
      </c>
      <c r="E25" s="257" t="s">
        <v>825</v>
      </c>
      <c r="F25" s="260" t="s">
        <v>826</v>
      </c>
      <c r="G25" s="260" t="s">
        <v>826</v>
      </c>
      <c r="H25" s="409"/>
      <c r="I25" s="161"/>
    </row>
    <row r="26" spans="1:9" s="146" customFormat="1" ht="20.100000000000001" customHeight="1">
      <c r="A26" s="408"/>
      <c r="B26" s="426"/>
      <c r="C26" s="442"/>
      <c r="D26" s="427"/>
      <c r="E26" s="257" t="s">
        <v>827</v>
      </c>
      <c r="F26" s="260" t="s">
        <v>826</v>
      </c>
      <c r="G26" s="260" t="s">
        <v>826</v>
      </c>
      <c r="H26" s="409"/>
      <c r="I26" s="161">
        <f>F35+F37+F39+F41+F43+F45+F47</f>
        <v>965</v>
      </c>
    </row>
    <row r="27" spans="1:9" s="146" customFormat="1" ht="20.100000000000001" customHeight="1">
      <c r="A27" s="408"/>
      <c r="B27" s="426" t="s">
        <v>828</v>
      </c>
      <c r="C27" s="442"/>
      <c r="D27" s="427" t="s">
        <v>645</v>
      </c>
      <c r="E27" s="257" t="s">
        <v>825</v>
      </c>
      <c r="F27" s="260" t="s">
        <v>826</v>
      </c>
      <c r="G27" s="260" t="s">
        <v>826</v>
      </c>
      <c r="H27" s="409"/>
      <c r="I27" s="161">
        <f>F36+F38+F40+F42+F44+F48</f>
        <v>13.89</v>
      </c>
    </row>
    <row r="28" spans="1:9" s="146" customFormat="1" ht="20.100000000000001" customHeight="1">
      <c r="A28" s="408"/>
      <c r="B28" s="426"/>
      <c r="C28" s="442"/>
      <c r="D28" s="427"/>
      <c r="E28" s="257" t="s">
        <v>827</v>
      </c>
      <c r="F28" s="260" t="s">
        <v>826</v>
      </c>
      <c r="G28" s="260" t="s">
        <v>826</v>
      </c>
      <c r="H28" s="409"/>
      <c r="I28" s="161">
        <f>I27/298329000</f>
        <v>4.6559335498727915E-8</v>
      </c>
    </row>
    <row r="29" spans="1:9" s="146" customFormat="1" ht="20.100000000000001" customHeight="1">
      <c r="A29" s="408"/>
      <c r="B29" s="426" t="s">
        <v>829</v>
      </c>
      <c r="C29" s="442"/>
      <c r="D29" s="427" t="s">
        <v>646</v>
      </c>
      <c r="E29" s="257" t="s">
        <v>825</v>
      </c>
      <c r="F29" s="260" t="s">
        <v>826</v>
      </c>
      <c r="G29" s="260" t="s">
        <v>826</v>
      </c>
      <c r="H29" s="409"/>
      <c r="I29" s="161"/>
    </row>
    <row r="30" spans="1:9" s="146" customFormat="1" ht="20.100000000000001" customHeight="1">
      <c r="A30" s="408"/>
      <c r="B30" s="426"/>
      <c r="C30" s="442"/>
      <c r="D30" s="427"/>
      <c r="E30" s="257" t="s">
        <v>827</v>
      </c>
      <c r="F30" s="260" t="s">
        <v>826</v>
      </c>
      <c r="G30" s="260" t="s">
        <v>826</v>
      </c>
      <c r="H30" s="409"/>
      <c r="I30" s="161"/>
    </row>
    <row r="31" spans="1:9" s="146" customFormat="1" ht="20.100000000000001" customHeight="1">
      <c r="A31" s="408"/>
      <c r="B31" s="426" t="s">
        <v>830</v>
      </c>
      <c r="C31" s="442"/>
      <c r="D31" s="427" t="s">
        <v>647</v>
      </c>
      <c r="E31" s="257" t="s">
        <v>825</v>
      </c>
      <c r="F31" s="260" t="s">
        <v>826</v>
      </c>
      <c r="G31" s="260" t="s">
        <v>826</v>
      </c>
      <c r="H31" s="409"/>
      <c r="I31" s="161"/>
    </row>
    <row r="32" spans="1:9" s="146" customFormat="1" ht="20.100000000000001" customHeight="1">
      <c r="A32" s="408"/>
      <c r="B32" s="426"/>
      <c r="C32" s="442"/>
      <c r="D32" s="427"/>
      <c r="E32" s="257" t="s">
        <v>827</v>
      </c>
      <c r="F32" s="260" t="s">
        <v>826</v>
      </c>
      <c r="G32" s="260" t="s">
        <v>826</v>
      </c>
      <c r="H32" s="409"/>
      <c r="I32" s="161"/>
    </row>
    <row r="33" spans="1:9" s="146" customFormat="1" ht="20.100000000000001" customHeight="1">
      <c r="A33" s="408"/>
      <c r="B33" s="426" t="s">
        <v>831</v>
      </c>
      <c r="C33" s="442"/>
      <c r="D33" s="427" t="s">
        <v>648</v>
      </c>
      <c r="E33" s="257" t="s">
        <v>825</v>
      </c>
      <c r="F33" s="260" t="s">
        <v>826</v>
      </c>
      <c r="G33" s="260" t="s">
        <v>826</v>
      </c>
      <c r="H33" s="409"/>
      <c r="I33" s="161"/>
    </row>
    <row r="34" spans="1:9" s="146" customFormat="1" ht="20.100000000000001" customHeight="1">
      <c r="A34" s="408"/>
      <c r="B34" s="426"/>
      <c r="C34" s="442"/>
      <c r="D34" s="427"/>
      <c r="E34" s="257" t="s">
        <v>827</v>
      </c>
      <c r="F34" s="260" t="s">
        <v>826</v>
      </c>
      <c r="G34" s="260" t="s">
        <v>826</v>
      </c>
      <c r="H34" s="409"/>
      <c r="I34" s="161"/>
    </row>
    <row r="35" spans="1:9" s="146" customFormat="1" ht="20.100000000000001" customHeight="1">
      <c r="A35" s="408"/>
      <c r="B35" s="426" t="s">
        <v>832</v>
      </c>
      <c r="C35" s="442" t="s">
        <v>833</v>
      </c>
      <c r="D35" s="427" t="s">
        <v>649</v>
      </c>
      <c r="E35" s="257" t="s">
        <v>825</v>
      </c>
      <c r="F35" s="242">
        <v>300</v>
      </c>
      <c r="G35" s="261" t="s">
        <v>834</v>
      </c>
      <c r="H35" s="409"/>
      <c r="I35" s="161"/>
    </row>
    <row r="36" spans="1:9" s="146" customFormat="1" ht="20.100000000000001" customHeight="1">
      <c r="A36" s="408"/>
      <c r="B36" s="426"/>
      <c r="C36" s="442"/>
      <c r="D36" s="427"/>
      <c r="E36" s="257" t="s">
        <v>827</v>
      </c>
      <c r="F36" s="242">
        <v>5</v>
      </c>
      <c r="G36" s="261" t="s">
        <v>834</v>
      </c>
      <c r="H36" s="409"/>
      <c r="I36" s="161">
        <v>300000000</v>
      </c>
    </row>
    <row r="37" spans="1:9" s="146" customFormat="1" ht="20.100000000000001" customHeight="1">
      <c r="A37" s="408"/>
      <c r="B37" s="426" t="s">
        <v>835</v>
      </c>
      <c r="C37" s="442"/>
      <c r="D37" s="427" t="s">
        <v>650</v>
      </c>
      <c r="E37" s="257" t="s">
        <v>825</v>
      </c>
      <c r="F37" s="242">
        <v>150</v>
      </c>
      <c r="G37" s="261" t="s">
        <v>834</v>
      </c>
      <c r="H37" s="409"/>
      <c r="I37" s="161">
        <v>15000000</v>
      </c>
    </row>
    <row r="38" spans="1:9" s="146" customFormat="1" ht="20.100000000000001" customHeight="1">
      <c r="A38" s="408"/>
      <c r="B38" s="426"/>
      <c r="C38" s="442"/>
      <c r="D38" s="427"/>
      <c r="E38" s="257" t="s">
        <v>827</v>
      </c>
      <c r="F38" s="242">
        <v>4.9400000000000004</v>
      </c>
      <c r="G38" s="261" t="s">
        <v>834</v>
      </c>
      <c r="H38" s="409"/>
      <c r="I38" s="161">
        <v>84000000</v>
      </c>
    </row>
    <row r="39" spans="1:9" s="146" customFormat="1" ht="20.100000000000001" customHeight="1">
      <c r="A39" s="408"/>
      <c r="B39" s="426" t="s">
        <v>836</v>
      </c>
      <c r="C39" s="442" t="s">
        <v>837</v>
      </c>
      <c r="D39" s="427" t="s">
        <v>651</v>
      </c>
      <c r="E39" s="257" t="s">
        <v>825</v>
      </c>
      <c r="F39" s="242">
        <v>15</v>
      </c>
      <c r="G39" s="261" t="s">
        <v>834</v>
      </c>
      <c r="H39" s="409"/>
      <c r="I39" s="161"/>
    </row>
    <row r="40" spans="1:9" s="146" customFormat="1" ht="20.100000000000001" customHeight="1">
      <c r="A40" s="408"/>
      <c r="B40" s="426"/>
      <c r="C40" s="442"/>
      <c r="D40" s="427"/>
      <c r="E40" s="257" t="s">
        <v>827</v>
      </c>
      <c r="F40" s="242">
        <v>1.5</v>
      </c>
      <c r="G40" s="261" t="s">
        <v>834</v>
      </c>
      <c r="H40" s="409"/>
      <c r="I40" s="161">
        <v>4500000</v>
      </c>
    </row>
    <row r="41" spans="1:9" s="146" customFormat="1" ht="20.100000000000001" customHeight="1">
      <c r="A41" s="408"/>
      <c r="B41" s="426" t="s">
        <v>838</v>
      </c>
      <c r="C41" s="442"/>
      <c r="D41" s="427" t="s">
        <v>652</v>
      </c>
      <c r="E41" s="257" t="s">
        <v>825</v>
      </c>
      <c r="F41" s="242">
        <v>200</v>
      </c>
      <c r="G41" s="261" t="s">
        <v>834</v>
      </c>
      <c r="H41" s="409"/>
      <c r="I41" s="161"/>
    </row>
    <row r="42" spans="1:9" s="146" customFormat="1" ht="20.100000000000001" customHeight="1">
      <c r="A42" s="408"/>
      <c r="B42" s="426"/>
      <c r="C42" s="442"/>
      <c r="D42" s="427"/>
      <c r="E42" s="257" t="s">
        <v>827</v>
      </c>
      <c r="F42" s="242">
        <v>0.6</v>
      </c>
      <c r="G42" s="261" t="s">
        <v>834</v>
      </c>
      <c r="H42" s="409"/>
      <c r="I42" s="161">
        <v>2000000</v>
      </c>
    </row>
    <row r="43" spans="1:9" s="146" customFormat="1" ht="20.100000000000001" customHeight="1">
      <c r="A43" s="408"/>
      <c r="B43" s="426" t="s">
        <v>839</v>
      </c>
      <c r="C43" s="442"/>
      <c r="D43" s="427" t="s">
        <v>653</v>
      </c>
      <c r="E43" s="257" t="s">
        <v>825</v>
      </c>
      <c r="F43" s="242">
        <v>100</v>
      </c>
      <c r="G43" s="261" t="s">
        <v>834</v>
      </c>
      <c r="H43" s="409"/>
      <c r="I43" s="161"/>
    </row>
    <row r="44" spans="1:9" s="146" customFormat="1" ht="20.100000000000001" customHeight="1">
      <c r="A44" s="408"/>
      <c r="B44" s="426"/>
      <c r="C44" s="442"/>
      <c r="D44" s="427"/>
      <c r="E44" s="257" t="s">
        <v>827</v>
      </c>
      <c r="F44" s="242">
        <v>1</v>
      </c>
      <c r="G44" s="261" t="s">
        <v>834</v>
      </c>
      <c r="H44" s="409"/>
      <c r="I44" s="161">
        <v>2000000</v>
      </c>
    </row>
    <row r="45" spans="1:9" s="146" customFormat="1" ht="20.100000000000001" customHeight="1">
      <c r="A45" s="408"/>
      <c r="B45" s="426" t="s">
        <v>840</v>
      </c>
      <c r="C45" s="442"/>
      <c r="D45" s="427" t="s">
        <v>654</v>
      </c>
      <c r="E45" s="257" t="s">
        <v>825</v>
      </c>
      <c r="F45" s="242">
        <v>100</v>
      </c>
      <c r="G45" s="261" t="s">
        <v>834</v>
      </c>
      <c r="H45" s="409"/>
      <c r="I45" s="161"/>
    </row>
    <row r="46" spans="1:9" s="146" customFormat="1" ht="20.100000000000001" customHeight="1">
      <c r="A46" s="408"/>
      <c r="B46" s="426"/>
      <c r="C46" s="442"/>
      <c r="D46" s="427"/>
      <c r="E46" s="257" t="s">
        <v>827</v>
      </c>
      <c r="F46" s="242" t="s">
        <v>47</v>
      </c>
      <c r="G46" s="261" t="s">
        <v>834</v>
      </c>
      <c r="H46" s="409"/>
      <c r="I46" s="161"/>
    </row>
    <row r="47" spans="1:9" s="146" customFormat="1" ht="20.100000000000001" customHeight="1">
      <c r="A47" s="408"/>
      <c r="B47" s="426" t="s">
        <v>841</v>
      </c>
      <c r="C47" s="442"/>
      <c r="D47" s="427" t="s">
        <v>655</v>
      </c>
      <c r="E47" s="257" t="s">
        <v>825</v>
      </c>
      <c r="F47" s="242">
        <v>100</v>
      </c>
      <c r="G47" s="261" t="s">
        <v>834</v>
      </c>
      <c r="H47" s="409"/>
      <c r="I47" s="161"/>
    </row>
    <row r="48" spans="1:9" s="146" customFormat="1" ht="20.100000000000001" customHeight="1">
      <c r="A48" s="408"/>
      <c r="B48" s="426"/>
      <c r="C48" s="442"/>
      <c r="D48" s="427"/>
      <c r="E48" s="257" t="s">
        <v>827</v>
      </c>
      <c r="F48" s="242">
        <v>0.85</v>
      </c>
      <c r="G48" s="261" t="s">
        <v>834</v>
      </c>
      <c r="H48" s="409"/>
      <c r="I48" s="161">
        <v>5000000</v>
      </c>
    </row>
    <row r="49" spans="1:8" ht="54.95" customHeight="1">
      <c r="A49" s="406"/>
      <c r="B49" s="406"/>
      <c r="C49" s="406"/>
      <c r="D49" s="406"/>
      <c r="E49" s="406"/>
      <c r="F49" s="406"/>
      <c r="G49" s="406"/>
      <c r="H49" s="406"/>
    </row>
  </sheetData>
  <mergeCells count="53">
    <mergeCell ref="A49:H49"/>
    <mergeCell ref="D47:D48"/>
    <mergeCell ref="B39:B40"/>
    <mergeCell ref="C39:C48"/>
    <mergeCell ref="D39:D40"/>
    <mergeCell ref="B41:B42"/>
    <mergeCell ref="D41:D42"/>
    <mergeCell ref="B43:B44"/>
    <mergeCell ref="D43:D44"/>
    <mergeCell ref="B45:B46"/>
    <mergeCell ref="D45:D46"/>
    <mergeCell ref="B47:B48"/>
    <mergeCell ref="A24:A48"/>
    <mergeCell ref="H24:H48"/>
    <mergeCell ref="B25:B26"/>
    <mergeCell ref="B35:B36"/>
    <mergeCell ref="C35:C38"/>
    <mergeCell ref="D35:D36"/>
    <mergeCell ref="B37:B38"/>
    <mergeCell ref="D37:D38"/>
    <mergeCell ref="B27:B28"/>
    <mergeCell ref="D27:D28"/>
    <mergeCell ref="B29:B30"/>
    <mergeCell ref="D29:D30"/>
    <mergeCell ref="B31:B32"/>
    <mergeCell ref="D31:D32"/>
    <mergeCell ref="C25:C34"/>
    <mergeCell ref="D25:D26"/>
    <mergeCell ref="B33:B34"/>
    <mergeCell ref="D33:D34"/>
    <mergeCell ref="A19:H19"/>
    <mergeCell ref="A20:H20"/>
    <mergeCell ref="A21:H21"/>
    <mergeCell ref="A22:H22"/>
    <mergeCell ref="A23:H23"/>
    <mergeCell ref="A18:H18"/>
    <mergeCell ref="A7:H7"/>
    <mergeCell ref="A8:H8"/>
    <mergeCell ref="A9:H9"/>
    <mergeCell ref="A10:H10"/>
    <mergeCell ref="A11:H11"/>
    <mergeCell ref="A12:H12"/>
    <mergeCell ref="A13:H13"/>
    <mergeCell ref="A14:H14"/>
    <mergeCell ref="A15:H15"/>
    <mergeCell ref="A16:H16"/>
    <mergeCell ref="A17:H17"/>
    <mergeCell ref="A6:H6"/>
    <mergeCell ref="A1:H1"/>
    <mergeCell ref="A2:H2"/>
    <mergeCell ref="A3:H3"/>
    <mergeCell ref="A4:H4"/>
    <mergeCell ref="A5:H5"/>
  </mergeCells>
  <printOptions headings="1"/>
  <pageMargins left="0.7" right="0.7" top="0.75" bottom="0.75" header="0.3" footer="0.3"/>
  <pageSetup paperSize="9" scale="79"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1"/>
  <sheetViews>
    <sheetView showGridLines="0" rightToLeft="1" workbookViewId="0">
      <pane xSplit="14" topLeftCell="O1" activePane="topRight" state="frozen"/>
      <selection activeCell="F12" sqref="F12"/>
      <selection pane="topRight" sqref="A1:N1"/>
    </sheetView>
  </sheetViews>
  <sheetFormatPr defaultColWidth="10.6640625" defaultRowHeight="35.1" customHeight="1"/>
  <cols>
    <col min="1" max="1" width="7.6640625" style="35" customWidth="1"/>
    <col min="2" max="2" width="27.5" style="35" customWidth="1"/>
    <col min="3" max="3" width="13.1640625" style="35" customWidth="1"/>
    <col min="4" max="4" width="13.1640625" style="52" customWidth="1"/>
    <col min="5" max="13" width="10.1640625" style="52" customWidth="1"/>
    <col min="14" max="14" width="10.6640625" style="53" customWidth="1"/>
    <col min="15" max="18" width="8.6640625" style="32" customWidth="1"/>
    <col min="19" max="19" width="8.6640625" style="33" customWidth="1"/>
    <col min="20" max="20" width="13.33203125" style="34" customWidth="1"/>
    <col min="21" max="21" width="10.6640625" style="33"/>
    <col min="22" max="16384" width="10.6640625" style="35"/>
  </cols>
  <sheetData>
    <row r="1" spans="1:21" ht="42" customHeight="1">
      <c r="A1" s="443" t="s">
        <v>110</v>
      </c>
      <c r="B1" s="443"/>
      <c r="C1" s="443"/>
      <c r="D1" s="443"/>
      <c r="E1" s="443"/>
      <c r="F1" s="443"/>
      <c r="G1" s="443"/>
      <c r="H1" s="443"/>
      <c r="I1" s="443"/>
      <c r="J1" s="443"/>
      <c r="K1" s="443"/>
      <c r="L1" s="443"/>
      <c r="M1" s="443"/>
      <c r="N1" s="443"/>
    </row>
    <row r="2" spans="1:21" s="38" customFormat="1" ht="25.5" customHeight="1">
      <c r="A2" s="374" t="s">
        <v>0</v>
      </c>
      <c r="B2" s="374" t="s">
        <v>11</v>
      </c>
      <c r="C2" s="374" t="s">
        <v>102</v>
      </c>
      <c r="D2" s="375" t="s">
        <v>103</v>
      </c>
      <c r="E2" s="375" t="s">
        <v>104</v>
      </c>
      <c r="F2" s="375"/>
      <c r="G2" s="375"/>
      <c r="H2" s="375"/>
      <c r="I2" s="375"/>
      <c r="J2" s="375" t="s">
        <v>105</v>
      </c>
      <c r="K2" s="375"/>
      <c r="L2" s="375"/>
      <c r="M2" s="375"/>
      <c r="N2" s="375"/>
      <c r="O2" s="32"/>
      <c r="P2" s="32"/>
      <c r="Q2" s="32"/>
      <c r="R2" s="32"/>
      <c r="S2" s="36"/>
      <c r="T2" s="37"/>
      <c r="U2" s="36"/>
    </row>
    <row r="3" spans="1:21" s="38" customFormat="1" ht="20.100000000000001" customHeight="1">
      <c r="A3" s="374"/>
      <c r="B3" s="374"/>
      <c r="C3" s="374"/>
      <c r="D3" s="375"/>
      <c r="E3" s="375" t="s">
        <v>106</v>
      </c>
      <c r="F3" s="375"/>
      <c r="G3" s="410">
        <v>1397</v>
      </c>
      <c r="H3" s="410">
        <v>1398</v>
      </c>
      <c r="I3" s="410">
        <v>1399</v>
      </c>
      <c r="J3" s="410">
        <v>1400</v>
      </c>
      <c r="K3" s="410">
        <v>1401</v>
      </c>
      <c r="L3" s="410">
        <v>1402</v>
      </c>
      <c r="M3" s="410">
        <v>1403</v>
      </c>
      <c r="N3" s="410">
        <v>1404</v>
      </c>
      <c r="O3" s="32"/>
      <c r="P3" s="32"/>
      <c r="Q3" s="32"/>
      <c r="R3" s="32"/>
      <c r="S3" s="36"/>
      <c r="T3" s="37"/>
      <c r="U3" s="36"/>
    </row>
    <row r="4" spans="1:21" s="76" customFormat="1" ht="21.75">
      <c r="A4" s="374"/>
      <c r="B4" s="374"/>
      <c r="C4" s="374"/>
      <c r="D4" s="375"/>
      <c r="E4" s="251">
        <v>1395</v>
      </c>
      <c r="F4" s="251">
        <v>1396</v>
      </c>
      <c r="G4" s="410"/>
      <c r="H4" s="410"/>
      <c r="I4" s="410"/>
      <c r="J4" s="410"/>
      <c r="K4" s="410"/>
      <c r="L4" s="410"/>
      <c r="M4" s="410"/>
      <c r="N4" s="410"/>
      <c r="O4" s="72"/>
      <c r="P4" s="72"/>
      <c r="Q4" s="73"/>
      <c r="R4" s="72"/>
      <c r="S4" s="74"/>
      <c r="T4" s="75"/>
      <c r="U4" s="74"/>
    </row>
    <row r="5" spans="1:21" s="76" customFormat="1" ht="30" customHeight="1">
      <c r="A5" s="252">
        <v>1</v>
      </c>
      <c r="B5" s="205" t="s">
        <v>14</v>
      </c>
      <c r="C5" s="206">
        <f>($A$200+$B$200)*'[18]نرخ تسهیم'!F3</f>
        <v>1861.1839530693542</v>
      </c>
      <c r="D5" s="207">
        <f>C5*1.05</f>
        <v>1954.2431507228221</v>
      </c>
      <c r="E5" s="207">
        <f t="shared" ref="E5:N5" si="0">D5*1.05</f>
        <v>2051.9553082589632</v>
      </c>
      <c r="F5" s="207">
        <f t="shared" si="0"/>
        <v>2154.5530736719115</v>
      </c>
      <c r="G5" s="207">
        <f t="shared" si="0"/>
        <v>2262.2807273555072</v>
      </c>
      <c r="H5" s="207">
        <f t="shared" si="0"/>
        <v>2375.3947637232827</v>
      </c>
      <c r="I5" s="207">
        <f t="shared" si="0"/>
        <v>2494.1645019094472</v>
      </c>
      <c r="J5" s="207">
        <f t="shared" si="0"/>
        <v>2618.8727270049194</v>
      </c>
      <c r="K5" s="207">
        <f t="shared" si="0"/>
        <v>2749.8163633551653</v>
      </c>
      <c r="L5" s="207">
        <f t="shared" si="0"/>
        <v>2887.3071815229237</v>
      </c>
      <c r="M5" s="207">
        <f t="shared" si="0"/>
        <v>3031.6725405990701</v>
      </c>
      <c r="N5" s="207">
        <f t="shared" si="0"/>
        <v>3183.2561676290238</v>
      </c>
      <c r="O5" s="72"/>
      <c r="P5" s="72"/>
      <c r="Q5" s="73"/>
      <c r="R5" s="73"/>
      <c r="S5" s="73"/>
      <c r="T5" s="75"/>
      <c r="U5" s="74"/>
    </row>
    <row r="6" spans="1:21" s="76" customFormat="1" ht="30" customHeight="1">
      <c r="A6" s="252">
        <v>2</v>
      </c>
      <c r="B6" s="205" t="s">
        <v>15</v>
      </c>
      <c r="C6" s="206">
        <f>($A$200+$B$200)*'[18]نرخ تسهیم'!F4</f>
        <v>1843.087473025822</v>
      </c>
      <c r="D6" s="207">
        <f t="shared" ref="D6:N21" si="1">C6*1.05</f>
        <v>1935.2418466771132</v>
      </c>
      <c r="E6" s="207">
        <f t="shared" si="1"/>
        <v>2032.0039390109689</v>
      </c>
      <c r="F6" s="207">
        <f t="shared" si="1"/>
        <v>2133.6041359615174</v>
      </c>
      <c r="G6" s="207">
        <f t="shared" si="1"/>
        <v>2240.2843427595935</v>
      </c>
      <c r="H6" s="207">
        <f t="shared" si="1"/>
        <v>2352.2985598975733</v>
      </c>
      <c r="I6" s="207">
        <f t="shared" si="1"/>
        <v>2469.9134878924519</v>
      </c>
      <c r="J6" s="207">
        <f t="shared" si="1"/>
        <v>2593.4091622870747</v>
      </c>
      <c r="K6" s="207">
        <f t="shared" si="1"/>
        <v>2723.0796204014287</v>
      </c>
      <c r="L6" s="207">
        <f t="shared" si="1"/>
        <v>2859.2336014215002</v>
      </c>
      <c r="M6" s="207">
        <f t="shared" si="1"/>
        <v>3002.1952814925753</v>
      </c>
      <c r="N6" s="207">
        <f t="shared" si="1"/>
        <v>3152.3050455672042</v>
      </c>
      <c r="O6" s="72"/>
      <c r="P6" s="72"/>
      <c r="Q6" s="73"/>
      <c r="R6" s="73"/>
      <c r="S6" s="73"/>
      <c r="T6" s="75"/>
      <c r="U6" s="74"/>
    </row>
    <row r="7" spans="1:21" s="76" customFormat="1" ht="30" customHeight="1">
      <c r="A7" s="252">
        <v>3</v>
      </c>
      <c r="B7" s="205" t="s">
        <v>16</v>
      </c>
      <c r="C7" s="206">
        <f>($A$200+$B$200)*'[18]نرخ تسهیم'!F5</f>
        <v>643.54971859829755</v>
      </c>
      <c r="D7" s="207">
        <f t="shared" si="1"/>
        <v>675.7272045282125</v>
      </c>
      <c r="E7" s="207">
        <f t="shared" si="1"/>
        <v>709.51356475462319</v>
      </c>
      <c r="F7" s="207">
        <f t="shared" si="1"/>
        <v>744.98924299235443</v>
      </c>
      <c r="G7" s="207">
        <f t="shared" si="1"/>
        <v>782.23870514197222</v>
      </c>
      <c r="H7" s="207">
        <f t="shared" si="1"/>
        <v>821.35064039907081</v>
      </c>
      <c r="I7" s="207">
        <f t="shared" si="1"/>
        <v>862.41817241902436</v>
      </c>
      <c r="J7" s="207">
        <f t="shared" si="1"/>
        <v>905.5390810399756</v>
      </c>
      <c r="K7" s="207">
        <f t="shared" si="1"/>
        <v>950.81603509197441</v>
      </c>
      <c r="L7" s="207">
        <f t="shared" si="1"/>
        <v>998.35683684657317</v>
      </c>
      <c r="M7" s="207">
        <f t="shared" si="1"/>
        <v>1048.274678688902</v>
      </c>
      <c r="N7" s="207">
        <f t="shared" si="1"/>
        <v>1100.6884126233472</v>
      </c>
      <c r="O7" s="72"/>
      <c r="P7" s="72"/>
      <c r="Q7" s="73"/>
      <c r="R7" s="73"/>
      <c r="S7" s="73"/>
      <c r="T7" s="75"/>
      <c r="U7" s="74"/>
    </row>
    <row r="8" spans="1:21" s="76" customFormat="1" ht="30" customHeight="1">
      <c r="A8" s="252">
        <v>4</v>
      </c>
      <c r="B8" s="205" t="s">
        <v>17</v>
      </c>
      <c r="C8" s="206">
        <f>($A$200+$B$200)*'[18]نرخ تسهیم'!F6</f>
        <v>1502.5574762399908</v>
      </c>
      <c r="D8" s="207">
        <f t="shared" si="1"/>
        <v>1577.6853500519903</v>
      </c>
      <c r="E8" s="207">
        <f t="shared" si="1"/>
        <v>1656.56961755459</v>
      </c>
      <c r="F8" s="207">
        <f t="shared" si="1"/>
        <v>1739.3980984323196</v>
      </c>
      <c r="G8" s="207">
        <f t="shared" si="1"/>
        <v>1826.3680033539356</v>
      </c>
      <c r="H8" s="207">
        <f t="shared" si="1"/>
        <v>1917.6864035216324</v>
      </c>
      <c r="I8" s="207">
        <f t="shared" si="1"/>
        <v>2013.5707236977141</v>
      </c>
      <c r="J8" s="207">
        <f t="shared" si="1"/>
        <v>2114.2492598825997</v>
      </c>
      <c r="K8" s="207">
        <f t="shared" si="1"/>
        <v>2219.9617228767297</v>
      </c>
      <c r="L8" s="207">
        <f t="shared" si="1"/>
        <v>2330.9598090205664</v>
      </c>
      <c r="M8" s="207">
        <f t="shared" si="1"/>
        <v>2447.5077994715948</v>
      </c>
      <c r="N8" s="207">
        <f t="shared" si="1"/>
        <v>2569.8831894451746</v>
      </c>
      <c r="O8" s="72"/>
      <c r="P8" s="72"/>
      <c r="Q8" s="73"/>
      <c r="R8" s="73"/>
      <c r="S8" s="73"/>
      <c r="T8" s="75"/>
      <c r="U8" s="74"/>
    </row>
    <row r="9" spans="1:21" s="76" customFormat="1" ht="30" customHeight="1">
      <c r="A9" s="252">
        <v>5</v>
      </c>
      <c r="B9" s="205" t="s">
        <v>18</v>
      </c>
      <c r="C9" s="206">
        <f>($A$200+$B$200)*'[18]نرخ تسهیم'!F7</f>
        <v>111.54222395377349</v>
      </c>
      <c r="D9" s="207">
        <f t="shared" si="1"/>
        <v>117.11933515146217</v>
      </c>
      <c r="E9" s="207">
        <f t="shared" si="1"/>
        <v>122.97530190903528</v>
      </c>
      <c r="F9" s="207">
        <f t="shared" si="1"/>
        <v>129.12406700448705</v>
      </c>
      <c r="G9" s="207">
        <f t="shared" si="1"/>
        <v>135.58027035471142</v>
      </c>
      <c r="H9" s="207">
        <f t="shared" si="1"/>
        <v>142.35928387244698</v>
      </c>
      <c r="I9" s="207">
        <f t="shared" si="1"/>
        <v>149.47724806606934</v>
      </c>
      <c r="J9" s="207">
        <f t="shared" si="1"/>
        <v>156.95111046937282</v>
      </c>
      <c r="K9" s="207">
        <f t="shared" si="1"/>
        <v>164.79866599284148</v>
      </c>
      <c r="L9" s="207">
        <f t="shared" si="1"/>
        <v>173.03859929248355</v>
      </c>
      <c r="M9" s="207">
        <f t="shared" si="1"/>
        <v>181.69052925710773</v>
      </c>
      <c r="N9" s="207">
        <f t="shared" si="1"/>
        <v>190.77505571996312</v>
      </c>
      <c r="O9" s="72"/>
      <c r="P9" s="72"/>
      <c r="Q9" s="73"/>
      <c r="R9" s="73"/>
      <c r="S9" s="73"/>
      <c r="T9" s="75"/>
      <c r="U9" s="74"/>
    </row>
    <row r="10" spans="1:21" s="76" customFormat="1" ht="30" customHeight="1">
      <c r="A10" s="252">
        <v>6</v>
      </c>
      <c r="B10" s="205" t="s">
        <v>19</v>
      </c>
      <c r="C10" s="206">
        <f>($A$200+$B$200)*'[18]نرخ تسهیم'!F8</f>
        <v>130.60640170936384</v>
      </c>
      <c r="D10" s="207">
        <f t="shared" si="1"/>
        <v>137.13672179483203</v>
      </c>
      <c r="E10" s="207">
        <f t="shared" si="1"/>
        <v>143.99355788457365</v>
      </c>
      <c r="F10" s="207">
        <f t="shared" si="1"/>
        <v>151.19323577880235</v>
      </c>
      <c r="G10" s="207">
        <f t="shared" si="1"/>
        <v>158.75289756774248</v>
      </c>
      <c r="H10" s="207">
        <f t="shared" si="1"/>
        <v>166.6905424461296</v>
      </c>
      <c r="I10" s="207">
        <f t="shared" si="1"/>
        <v>175.02506956843609</v>
      </c>
      <c r="J10" s="207">
        <f t="shared" si="1"/>
        <v>183.7763230468579</v>
      </c>
      <c r="K10" s="207">
        <f t="shared" si="1"/>
        <v>192.96513919920079</v>
      </c>
      <c r="L10" s="207">
        <f t="shared" si="1"/>
        <v>202.61339615916083</v>
      </c>
      <c r="M10" s="207">
        <f t="shared" si="1"/>
        <v>212.74406596711887</v>
      </c>
      <c r="N10" s="207">
        <f t="shared" si="1"/>
        <v>223.38126926547483</v>
      </c>
      <c r="O10" s="72"/>
      <c r="P10" s="72"/>
      <c r="Q10" s="73"/>
      <c r="R10" s="73"/>
      <c r="S10" s="73"/>
      <c r="T10" s="75"/>
      <c r="U10" s="74"/>
    </row>
    <row r="11" spans="1:21" s="76" customFormat="1" ht="30" customHeight="1">
      <c r="A11" s="252">
        <v>7</v>
      </c>
      <c r="B11" s="205" t="s">
        <v>20</v>
      </c>
      <c r="C11" s="206">
        <f>($A$200+$B$200)*'[18]نرخ تسهیم'!F9</f>
        <v>48.682039707613839</v>
      </c>
      <c r="D11" s="207">
        <f t="shared" si="1"/>
        <v>51.116141692994532</v>
      </c>
      <c r="E11" s="207">
        <f t="shared" si="1"/>
        <v>53.671948777644261</v>
      </c>
      <c r="F11" s="207">
        <f t="shared" si="1"/>
        <v>56.355546216526477</v>
      </c>
      <c r="G11" s="207">
        <f t="shared" si="1"/>
        <v>59.173323527352807</v>
      </c>
      <c r="H11" s="207">
        <f t="shared" si="1"/>
        <v>62.13198970372045</v>
      </c>
      <c r="I11" s="207">
        <f t="shared" si="1"/>
        <v>65.238589188906474</v>
      </c>
      <c r="J11" s="207">
        <f t="shared" si="1"/>
        <v>68.5005186483518</v>
      </c>
      <c r="K11" s="207">
        <f t="shared" si="1"/>
        <v>71.925544580769397</v>
      </c>
      <c r="L11" s="207">
        <f t="shared" si="1"/>
        <v>75.521821809807875</v>
      </c>
      <c r="M11" s="207">
        <f t="shared" si="1"/>
        <v>79.297912900298272</v>
      </c>
      <c r="N11" s="207">
        <f t="shared" si="1"/>
        <v>83.262808545313192</v>
      </c>
      <c r="O11" s="72"/>
      <c r="P11" s="72"/>
      <c r="Q11" s="73"/>
      <c r="R11" s="73"/>
      <c r="S11" s="73"/>
      <c r="T11" s="75"/>
      <c r="U11" s="74"/>
    </row>
    <row r="12" spans="1:21" s="76" customFormat="1" ht="30" customHeight="1">
      <c r="A12" s="252">
        <v>8</v>
      </c>
      <c r="B12" s="205" t="s">
        <v>21</v>
      </c>
      <c r="C12" s="206">
        <f>($A$200+$B$200)*'[18]نرخ تسهیم'!F10</f>
        <v>154.11846407793689</v>
      </c>
      <c r="D12" s="207">
        <f t="shared" si="1"/>
        <v>161.82438728183374</v>
      </c>
      <c r="E12" s="207">
        <f t="shared" si="1"/>
        <v>169.91560664592544</v>
      </c>
      <c r="F12" s="207">
        <f t="shared" si="1"/>
        <v>178.41138697822171</v>
      </c>
      <c r="G12" s="207">
        <f t="shared" si="1"/>
        <v>187.33195632713281</v>
      </c>
      <c r="H12" s="207">
        <f t="shared" si="1"/>
        <v>196.69855414348947</v>
      </c>
      <c r="I12" s="207">
        <f t="shared" si="1"/>
        <v>206.53348185066395</v>
      </c>
      <c r="J12" s="207">
        <f t="shared" si="1"/>
        <v>216.86015594319716</v>
      </c>
      <c r="K12" s="207">
        <f t="shared" si="1"/>
        <v>227.70316374035701</v>
      </c>
      <c r="L12" s="207">
        <f t="shared" si="1"/>
        <v>239.08832192737486</v>
      </c>
      <c r="M12" s="207">
        <f t="shared" si="1"/>
        <v>251.04273802374362</v>
      </c>
      <c r="N12" s="207">
        <f t="shared" si="1"/>
        <v>263.59487492493082</v>
      </c>
      <c r="O12" s="72"/>
      <c r="P12" s="72"/>
      <c r="Q12" s="73"/>
      <c r="R12" s="73"/>
      <c r="S12" s="73"/>
      <c r="T12" s="75"/>
      <c r="U12" s="74"/>
    </row>
    <row r="13" spans="1:21" s="76" customFormat="1" ht="30" customHeight="1">
      <c r="A13" s="252">
        <v>9</v>
      </c>
      <c r="B13" s="205" t="s">
        <v>22</v>
      </c>
      <c r="C13" s="206">
        <f>($A$200+$B$200)*'[18]نرخ تسهیم'!F11</f>
        <v>60.357122015097566</v>
      </c>
      <c r="D13" s="207">
        <f t="shared" si="1"/>
        <v>63.37497811585245</v>
      </c>
      <c r="E13" s="207">
        <f t="shared" si="1"/>
        <v>66.543727021645068</v>
      </c>
      <c r="F13" s="207">
        <f t="shared" si="1"/>
        <v>69.87091337272733</v>
      </c>
      <c r="G13" s="207">
        <f t="shared" si="1"/>
        <v>73.364459041363702</v>
      </c>
      <c r="H13" s="207">
        <f t="shared" si="1"/>
        <v>77.032681993431893</v>
      </c>
      <c r="I13" s="207">
        <f t="shared" si="1"/>
        <v>80.884316093103493</v>
      </c>
      <c r="J13" s="207">
        <f t="shared" si="1"/>
        <v>84.928531897758674</v>
      </c>
      <c r="K13" s="207">
        <f t="shared" si="1"/>
        <v>89.17495849264661</v>
      </c>
      <c r="L13" s="207">
        <f t="shared" si="1"/>
        <v>93.633706417278944</v>
      </c>
      <c r="M13" s="207">
        <f t="shared" si="1"/>
        <v>98.315391738142893</v>
      </c>
      <c r="N13" s="207">
        <f t="shared" si="1"/>
        <v>103.23116132505004</v>
      </c>
      <c r="O13" s="72"/>
      <c r="P13" s="72"/>
      <c r="Q13" s="73"/>
      <c r="R13" s="73"/>
      <c r="S13" s="73"/>
      <c r="T13" s="75"/>
      <c r="U13" s="74"/>
    </row>
    <row r="14" spans="1:21" s="76" customFormat="1" ht="30" customHeight="1">
      <c r="A14" s="252">
        <v>10</v>
      </c>
      <c r="B14" s="205" t="s">
        <v>23</v>
      </c>
      <c r="C14" s="206">
        <f>($A$200+$B$200)*'[18]نرخ تسهیم'!F12</f>
        <v>323.73648625802599</v>
      </c>
      <c r="D14" s="207">
        <f t="shared" si="1"/>
        <v>339.9233105709273</v>
      </c>
      <c r="E14" s="207">
        <f t="shared" si="1"/>
        <v>356.91947609947368</v>
      </c>
      <c r="F14" s="207">
        <f t="shared" si="1"/>
        <v>374.76544990444739</v>
      </c>
      <c r="G14" s="207">
        <f t="shared" si="1"/>
        <v>393.50372239966975</v>
      </c>
      <c r="H14" s="207">
        <f t="shared" si="1"/>
        <v>413.17890851965325</v>
      </c>
      <c r="I14" s="207">
        <f t="shared" si="1"/>
        <v>433.83785394563591</v>
      </c>
      <c r="J14" s="207">
        <f t="shared" si="1"/>
        <v>455.5297466429177</v>
      </c>
      <c r="K14" s="207">
        <f t="shared" si="1"/>
        <v>478.30623397506361</v>
      </c>
      <c r="L14" s="207">
        <f t="shared" si="1"/>
        <v>502.22154567381682</v>
      </c>
      <c r="M14" s="207">
        <f t="shared" si="1"/>
        <v>527.33262295750774</v>
      </c>
      <c r="N14" s="207">
        <f t="shared" si="1"/>
        <v>553.69925410538315</v>
      </c>
      <c r="O14" s="72"/>
      <c r="P14" s="72"/>
      <c r="Q14" s="73"/>
      <c r="R14" s="73"/>
      <c r="S14" s="73"/>
      <c r="T14" s="75"/>
      <c r="U14" s="74"/>
    </row>
    <row r="15" spans="1:21" s="76" customFormat="1" ht="30" customHeight="1">
      <c r="A15" s="252">
        <v>11</v>
      </c>
      <c r="B15" s="205" t="s">
        <v>24</v>
      </c>
      <c r="C15" s="206">
        <f>($A$200+$B$200)*'[18]نرخ تسهیم'!F13</f>
        <v>39.00301324838167</v>
      </c>
      <c r="D15" s="207">
        <f t="shared" si="1"/>
        <v>40.953163910800754</v>
      </c>
      <c r="E15" s="207">
        <f t="shared" si="1"/>
        <v>43.000822106340792</v>
      </c>
      <c r="F15" s="207">
        <f t="shared" si="1"/>
        <v>45.150863211657835</v>
      </c>
      <c r="G15" s="207">
        <f t="shared" si="1"/>
        <v>47.408406372240727</v>
      </c>
      <c r="H15" s="207">
        <f t="shared" si="1"/>
        <v>49.778826690852767</v>
      </c>
      <c r="I15" s="207">
        <f t="shared" si="1"/>
        <v>52.267768025395405</v>
      </c>
      <c r="J15" s="207">
        <f t="shared" si="1"/>
        <v>54.881156426665179</v>
      </c>
      <c r="K15" s="207">
        <f t="shared" si="1"/>
        <v>57.625214247998443</v>
      </c>
      <c r="L15" s="207">
        <f t="shared" si="1"/>
        <v>60.506474960398364</v>
      </c>
      <c r="M15" s="207">
        <f t="shared" si="1"/>
        <v>63.531798708418286</v>
      </c>
      <c r="N15" s="207">
        <f t="shared" si="1"/>
        <v>66.7083886438392</v>
      </c>
      <c r="O15" s="72"/>
      <c r="P15" s="72"/>
      <c r="Q15" s="73"/>
      <c r="R15" s="73"/>
      <c r="S15" s="73"/>
      <c r="T15" s="75"/>
      <c r="U15" s="74"/>
    </row>
    <row r="16" spans="1:21" s="76" customFormat="1" ht="30" customHeight="1">
      <c r="A16" s="252">
        <v>12</v>
      </c>
      <c r="B16" s="205" t="s">
        <v>25</v>
      </c>
      <c r="C16" s="206">
        <f>($A$200+$B$200)*'[18]نرخ تسهیم'!F14</f>
        <v>413.9114856777029</v>
      </c>
      <c r="D16" s="207">
        <f t="shared" si="1"/>
        <v>434.60705996158805</v>
      </c>
      <c r="E16" s="207">
        <f t="shared" si="1"/>
        <v>456.33741295966746</v>
      </c>
      <c r="F16" s="207">
        <f t="shared" si="1"/>
        <v>479.15428360765088</v>
      </c>
      <c r="G16" s="207">
        <f t="shared" si="1"/>
        <v>503.11199778803342</v>
      </c>
      <c r="H16" s="207">
        <f t="shared" si="1"/>
        <v>528.26759767743511</v>
      </c>
      <c r="I16" s="207">
        <f t="shared" si="1"/>
        <v>554.68097756130692</v>
      </c>
      <c r="J16" s="207">
        <f t="shared" si="1"/>
        <v>582.41502643937224</v>
      </c>
      <c r="K16" s="207">
        <f t="shared" si="1"/>
        <v>611.53577776134091</v>
      </c>
      <c r="L16" s="207">
        <f t="shared" si="1"/>
        <v>642.112566649408</v>
      </c>
      <c r="M16" s="207">
        <f t="shared" si="1"/>
        <v>674.21819498187847</v>
      </c>
      <c r="N16" s="207">
        <f t="shared" si="1"/>
        <v>707.92910473097243</v>
      </c>
      <c r="O16" s="72"/>
      <c r="P16" s="72"/>
      <c r="Q16" s="73"/>
      <c r="R16" s="73"/>
      <c r="S16" s="73"/>
      <c r="T16" s="75"/>
      <c r="U16" s="74"/>
    </row>
    <row r="17" spans="1:21" s="76" customFormat="1" ht="30" customHeight="1">
      <c r="A17" s="252">
        <v>13</v>
      </c>
      <c r="B17" s="205" t="s">
        <v>26</v>
      </c>
      <c r="C17" s="206">
        <f>($A$200+$B$200)*'[18]نرخ تسهیم'!F15</f>
        <v>211.3196045670515</v>
      </c>
      <c r="D17" s="207">
        <f t="shared" si="1"/>
        <v>221.88558479540407</v>
      </c>
      <c r="E17" s="207">
        <f t="shared" si="1"/>
        <v>232.97986403517427</v>
      </c>
      <c r="F17" s="207">
        <f t="shared" si="1"/>
        <v>244.62885723693299</v>
      </c>
      <c r="G17" s="207">
        <f t="shared" si="1"/>
        <v>256.86030009877965</v>
      </c>
      <c r="H17" s="207">
        <f t="shared" si="1"/>
        <v>269.70331510371864</v>
      </c>
      <c r="I17" s="207">
        <f t="shared" si="1"/>
        <v>283.1884808589046</v>
      </c>
      <c r="J17" s="207">
        <f t="shared" si="1"/>
        <v>297.34790490184986</v>
      </c>
      <c r="K17" s="207">
        <f t="shared" si="1"/>
        <v>312.21530014694235</v>
      </c>
      <c r="L17" s="207">
        <f t="shared" si="1"/>
        <v>327.82606515428949</v>
      </c>
      <c r="M17" s="207">
        <f t="shared" si="1"/>
        <v>344.21736841200396</v>
      </c>
      <c r="N17" s="207">
        <f t="shared" si="1"/>
        <v>361.42823683260417</v>
      </c>
      <c r="O17" s="72"/>
      <c r="P17" s="72"/>
      <c r="Q17" s="73"/>
      <c r="R17" s="73"/>
      <c r="S17" s="73"/>
      <c r="T17" s="75"/>
      <c r="U17" s="74"/>
    </row>
    <row r="18" spans="1:21" s="76" customFormat="1" ht="30" customHeight="1">
      <c r="A18" s="252">
        <v>14</v>
      </c>
      <c r="B18" s="205" t="s">
        <v>27</v>
      </c>
      <c r="C18" s="206">
        <f>($A$200+$B$200)*'[18]نرخ تسهیم'!F16</f>
        <v>364.03427166752198</v>
      </c>
      <c r="D18" s="207">
        <f t="shared" si="1"/>
        <v>382.23598525089807</v>
      </c>
      <c r="E18" s="207">
        <f t="shared" si="1"/>
        <v>401.347784513443</v>
      </c>
      <c r="F18" s="207">
        <f t="shared" si="1"/>
        <v>421.41517373911518</v>
      </c>
      <c r="G18" s="207">
        <f t="shared" si="1"/>
        <v>442.48593242607097</v>
      </c>
      <c r="H18" s="207">
        <f t="shared" si="1"/>
        <v>464.61022904737456</v>
      </c>
      <c r="I18" s="207">
        <f t="shared" si="1"/>
        <v>487.84074049974333</v>
      </c>
      <c r="J18" s="207">
        <f t="shared" si="1"/>
        <v>512.23277752473052</v>
      </c>
      <c r="K18" s="207">
        <f t="shared" si="1"/>
        <v>537.84441640096702</v>
      </c>
      <c r="L18" s="207">
        <f t="shared" si="1"/>
        <v>564.73663722101537</v>
      </c>
      <c r="M18" s="207">
        <f t="shared" si="1"/>
        <v>592.97346908206612</v>
      </c>
      <c r="N18" s="207">
        <f t="shared" si="1"/>
        <v>622.62214253616946</v>
      </c>
      <c r="O18" s="72"/>
      <c r="P18" s="72"/>
      <c r="Q18" s="73"/>
      <c r="R18" s="73"/>
      <c r="S18" s="73"/>
      <c r="T18" s="75"/>
      <c r="U18" s="74"/>
    </row>
    <row r="19" spans="1:21" s="76" customFormat="1" ht="30" customHeight="1">
      <c r="A19" s="252">
        <v>15</v>
      </c>
      <c r="B19" s="205" t="s">
        <v>28</v>
      </c>
      <c r="C19" s="206">
        <f>($A$200+$B$200)*'[18]نرخ تسهیم'!F17</f>
        <v>192.43535874521527</v>
      </c>
      <c r="D19" s="207">
        <f t="shared" si="1"/>
        <v>202.05712668247605</v>
      </c>
      <c r="E19" s="207">
        <f t="shared" si="1"/>
        <v>212.15998301659985</v>
      </c>
      <c r="F19" s="207">
        <f t="shared" si="1"/>
        <v>222.76798216742986</v>
      </c>
      <c r="G19" s="207">
        <f t="shared" si="1"/>
        <v>233.90638127580138</v>
      </c>
      <c r="H19" s="207">
        <f t="shared" si="1"/>
        <v>245.60170033959145</v>
      </c>
      <c r="I19" s="207">
        <f t="shared" si="1"/>
        <v>257.88178535657102</v>
      </c>
      <c r="J19" s="207">
        <f t="shared" si="1"/>
        <v>270.77587462439959</v>
      </c>
      <c r="K19" s="207">
        <f t="shared" si="1"/>
        <v>284.31466835561957</v>
      </c>
      <c r="L19" s="207">
        <f t="shared" si="1"/>
        <v>298.53040177340057</v>
      </c>
      <c r="M19" s="207">
        <f t="shared" si="1"/>
        <v>313.4569218620706</v>
      </c>
      <c r="N19" s="207">
        <f t="shared" si="1"/>
        <v>329.12976795517415</v>
      </c>
      <c r="O19" s="72"/>
      <c r="P19" s="72"/>
      <c r="Q19" s="73"/>
      <c r="R19" s="73"/>
      <c r="S19" s="73"/>
      <c r="T19" s="75"/>
      <c r="U19" s="74"/>
    </row>
    <row r="20" spans="1:21" s="76" customFormat="1" ht="30" customHeight="1">
      <c r="A20" s="252">
        <v>16</v>
      </c>
      <c r="B20" s="205" t="s">
        <v>29</v>
      </c>
      <c r="C20" s="206">
        <f>($A$200+$B$200)*'[18]نرخ تسهیم'!F18</f>
        <v>86.109111531657263</v>
      </c>
      <c r="D20" s="207">
        <f t="shared" si="1"/>
        <v>90.414567108240135</v>
      </c>
      <c r="E20" s="207">
        <f t="shared" si="1"/>
        <v>94.935295463652139</v>
      </c>
      <c r="F20" s="207">
        <f t="shared" si="1"/>
        <v>99.682060236834744</v>
      </c>
      <c r="G20" s="207">
        <f t="shared" si="1"/>
        <v>104.66616324867648</v>
      </c>
      <c r="H20" s="207">
        <f t="shared" si="1"/>
        <v>109.89947141111031</v>
      </c>
      <c r="I20" s="207">
        <f t="shared" si="1"/>
        <v>115.39444498166583</v>
      </c>
      <c r="J20" s="207">
        <f t="shared" si="1"/>
        <v>121.16416723074913</v>
      </c>
      <c r="K20" s="207">
        <f t="shared" si="1"/>
        <v>127.2223755922866</v>
      </c>
      <c r="L20" s="207">
        <f t="shared" si="1"/>
        <v>133.58349437190094</v>
      </c>
      <c r="M20" s="207">
        <f t="shared" si="1"/>
        <v>140.26266909049599</v>
      </c>
      <c r="N20" s="207">
        <f t="shared" si="1"/>
        <v>147.27580254502081</v>
      </c>
      <c r="O20" s="72"/>
      <c r="P20" s="72"/>
      <c r="Q20" s="73"/>
      <c r="R20" s="73"/>
      <c r="S20" s="73"/>
      <c r="T20" s="75"/>
      <c r="U20" s="74"/>
    </row>
    <row r="21" spans="1:21" s="76" customFormat="1" ht="30" customHeight="1">
      <c r="A21" s="252">
        <v>17</v>
      </c>
      <c r="B21" s="205" t="s">
        <v>30</v>
      </c>
      <c r="C21" s="206">
        <f>($A$200+$B$200)*'[18]نرخ تسهیم'!F19</f>
        <v>5.7934803726972985</v>
      </c>
      <c r="D21" s="207">
        <f t="shared" si="1"/>
        <v>6.0831543913321635</v>
      </c>
      <c r="E21" s="207">
        <f t="shared" si="1"/>
        <v>6.3873121108987716</v>
      </c>
      <c r="F21" s="207">
        <f t="shared" si="1"/>
        <v>6.7066777164437106</v>
      </c>
      <c r="G21" s="207">
        <f t="shared" si="1"/>
        <v>7.0420116022658963</v>
      </c>
      <c r="H21" s="207">
        <f t="shared" si="1"/>
        <v>7.3941121823791915</v>
      </c>
      <c r="I21" s="207">
        <f t="shared" si="1"/>
        <v>7.7638177914981519</v>
      </c>
      <c r="J21" s="207">
        <f t="shared" si="1"/>
        <v>8.1520086810730596</v>
      </c>
      <c r="K21" s="207">
        <f t="shared" si="1"/>
        <v>8.5596091151267135</v>
      </c>
      <c r="L21" s="207">
        <f t="shared" si="1"/>
        <v>8.9875895708830491</v>
      </c>
      <c r="M21" s="207">
        <f t="shared" si="1"/>
        <v>9.4369690494272014</v>
      </c>
      <c r="N21" s="207">
        <f t="shared" si="1"/>
        <v>9.9088175018985627</v>
      </c>
      <c r="O21" s="72"/>
      <c r="P21" s="72"/>
      <c r="Q21" s="73"/>
      <c r="R21" s="73"/>
      <c r="S21" s="73"/>
      <c r="T21" s="75"/>
      <c r="U21" s="74"/>
    </row>
    <row r="22" spans="1:21" s="76" customFormat="1" ht="30" customHeight="1">
      <c r="A22" s="252">
        <v>18</v>
      </c>
      <c r="B22" s="205" t="s">
        <v>31</v>
      </c>
      <c r="C22" s="206">
        <f>($A$200+$B$200)*'[18]نرخ تسهیم'!F20</f>
        <v>1111.7399878456008</v>
      </c>
      <c r="D22" s="207">
        <f t="shared" ref="D22:N36" si="2">C22*1.05</f>
        <v>1167.326987237881</v>
      </c>
      <c r="E22" s="207">
        <f t="shared" si="2"/>
        <v>1225.6933365997752</v>
      </c>
      <c r="F22" s="207">
        <f t="shared" si="2"/>
        <v>1286.9780034297639</v>
      </c>
      <c r="G22" s="207">
        <f t="shared" si="2"/>
        <v>1351.3269036012523</v>
      </c>
      <c r="H22" s="207">
        <f t="shared" si="2"/>
        <v>1418.8932487813149</v>
      </c>
      <c r="I22" s="207">
        <f t="shared" si="2"/>
        <v>1489.8379112203806</v>
      </c>
      <c r="J22" s="207">
        <f t="shared" si="2"/>
        <v>1564.3298067813998</v>
      </c>
      <c r="K22" s="207">
        <f t="shared" si="2"/>
        <v>1642.5462971204699</v>
      </c>
      <c r="L22" s="207">
        <f t="shared" si="2"/>
        <v>1724.6736119764935</v>
      </c>
      <c r="M22" s="207">
        <f t="shared" si="2"/>
        <v>1810.9072925753183</v>
      </c>
      <c r="N22" s="207">
        <f t="shared" si="2"/>
        <v>1901.4526572040843</v>
      </c>
      <c r="O22" s="72"/>
      <c r="P22" s="72"/>
      <c r="Q22" s="73"/>
      <c r="R22" s="73"/>
      <c r="S22" s="73"/>
      <c r="T22" s="75"/>
      <c r="U22" s="74"/>
    </row>
    <row r="23" spans="1:21" s="76" customFormat="1" ht="30" customHeight="1">
      <c r="A23" s="252">
        <v>19</v>
      </c>
      <c r="B23" s="205" t="s">
        <v>32</v>
      </c>
      <c r="C23" s="206">
        <f>($A$200+$B$200)*'[18]نرخ تسهیم'!F21</f>
        <v>166.84895579183703</v>
      </c>
      <c r="D23" s="207">
        <f t="shared" si="2"/>
        <v>175.19140358142889</v>
      </c>
      <c r="E23" s="207">
        <f t="shared" si="2"/>
        <v>183.95097376050035</v>
      </c>
      <c r="F23" s="207">
        <f t="shared" si="2"/>
        <v>193.14852244852537</v>
      </c>
      <c r="G23" s="207">
        <f t="shared" si="2"/>
        <v>202.80594857095164</v>
      </c>
      <c r="H23" s="207">
        <f t="shared" si="2"/>
        <v>212.94624599949924</v>
      </c>
      <c r="I23" s="207">
        <f t="shared" si="2"/>
        <v>223.59355829947421</v>
      </c>
      <c r="J23" s="207">
        <f t="shared" si="2"/>
        <v>234.77323621444793</v>
      </c>
      <c r="K23" s="207">
        <f t="shared" si="2"/>
        <v>246.51189802517035</v>
      </c>
      <c r="L23" s="207">
        <f t="shared" si="2"/>
        <v>258.83749292642887</v>
      </c>
      <c r="M23" s="207">
        <f t="shared" si="2"/>
        <v>271.77936757275035</v>
      </c>
      <c r="N23" s="207">
        <f t="shared" si="2"/>
        <v>285.36833595138785</v>
      </c>
      <c r="O23" s="72"/>
      <c r="P23" s="72"/>
      <c r="Q23" s="73"/>
      <c r="R23" s="73"/>
      <c r="S23" s="73"/>
      <c r="T23" s="75"/>
      <c r="U23" s="74"/>
    </row>
    <row r="24" spans="1:21" s="76" customFormat="1" ht="30" customHeight="1">
      <c r="A24" s="252">
        <v>20</v>
      </c>
      <c r="B24" s="205" t="s">
        <v>33</v>
      </c>
      <c r="C24" s="206">
        <f>($A$200+$B$200)*'[18]نرخ تسهیم'!F22</f>
        <v>37.429940898157959</v>
      </c>
      <c r="D24" s="207">
        <f t="shared" si="2"/>
        <v>39.301437943065856</v>
      </c>
      <c r="E24" s="207">
        <f t="shared" si="2"/>
        <v>41.26650984021915</v>
      </c>
      <c r="F24" s="207">
        <f t="shared" si="2"/>
        <v>43.329835332230111</v>
      </c>
      <c r="G24" s="207">
        <f t="shared" si="2"/>
        <v>45.496327098841618</v>
      </c>
      <c r="H24" s="207">
        <f t="shared" si="2"/>
        <v>47.771143453783701</v>
      </c>
      <c r="I24" s="207">
        <f t="shared" si="2"/>
        <v>50.15970062647289</v>
      </c>
      <c r="J24" s="207">
        <f t="shared" si="2"/>
        <v>52.66768565779654</v>
      </c>
      <c r="K24" s="207">
        <f t="shared" si="2"/>
        <v>55.301069940686368</v>
      </c>
      <c r="L24" s="207">
        <f t="shared" si="2"/>
        <v>58.066123437720691</v>
      </c>
      <c r="M24" s="207">
        <f t="shared" si="2"/>
        <v>60.969429609606728</v>
      </c>
      <c r="N24" s="207">
        <f t="shared" si="2"/>
        <v>64.017901090087065</v>
      </c>
      <c r="O24" s="72"/>
      <c r="P24" s="72"/>
      <c r="Q24" s="73"/>
      <c r="R24" s="73"/>
      <c r="S24" s="73"/>
      <c r="T24" s="75"/>
      <c r="U24" s="74"/>
    </row>
    <row r="25" spans="1:21" s="76" customFormat="1" ht="30" customHeight="1">
      <c r="A25" s="252">
        <v>21</v>
      </c>
      <c r="B25" s="205" t="s">
        <v>34</v>
      </c>
      <c r="C25" s="206">
        <f>($A$200+$B$200)*'[18]نرخ تسهیم'!F23</f>
        <v>320.88257724952996</v>
      </c>
      <c r="D25" s="207">
        <f t="shared" si="2"/>
        <v>336.92670611200646</v>
      </c>
      <c r="E25" s="207">
        <f t="shared" si="2"/>
        <v>353.77304141760681</v>
      </c>
      <c r="F25" s="207">
        <f t="shared" si="2"/>
        <v>371.46169348848719</v>
      </c>
      <c r="G25" s="207">
        <f t="shared" si="2"/>
        <v>390.03477816291155</v>
      </c>
      <c r="H25" s="207">
        <f t="shared" si="2"/>
        <v>409.53651707105712</v>
      </c>
      <c r="I25" s="207">
        <f t="shared" si="2"/>
        <v>430.01334292461001</v>
      </c>
      <c r="J25" s="207">
        <f t="shared" si="2"/>
        <v>451.51401007084053</v>
      </c>
      <c r="K25" s="207">
        <f t="shared" si="2"/>
        <v>474.08971057438259</v>
      </c>
      <c r="L25" s="207">
        <f t="shared" si="2"/>
        <v>497.79419610310174</v>
      </c>
      <c r="M25" s="207">
        <f t="shared" si="2"/>
        <v>522.68390590825686</v>
      </c>
      <c r="N25" s="207">
        <f t="shared" si="2"/>
        <v>548.8181012036697</v>
      </c>
      <c r="O25" s="72"/>
      <c r="P25" s="72"/>
      <c r="Q25" s="73"/>
      <c r="R25" s="73"/>
      <c r="S25" s="73"/>
      <c r="T25" s="75"/>
      <c r="U25" s="74"/>
    </row>
    <row r="26" spans="1:21" s="76" customFormat="1" ht="30" customHeight="1">
      <c r="A26" s="252">
        <v>22</v>
      </c>
      <c r="B26" s="205" t="s">
        <v>35</v>
      </c>
      <c r="C26" s="206">
        <f>($A$200+$B$200)*'[18]نرخ تسهیم'!F24</f>
        <v>215.88962976376712</v>
      </c>
      <c r="D26" s="207">
        <f t="shared" si="2"/>
        <v>226.68411125195547</v>
      </c>
      <c r="E26" s="207">
        <f t="shared" si="2"/>
        <v>238.01831681455326</v>
      </c>
      <c r="F26" s="207">
        <f t="shared" si="2"/>
        <v>249.91923265528092</v>
      </c>
      <c r="G26" s="207">
        <f t="shared" si="2"/>
        <v>262.41519428804497</v>
      </c>
      <c r="H26" s="207">
        <f t="shared" si="2"/>
        <v>275.53595400244723</v>
      </c>
      <c r="I26" s="207">
        <f t="shared" si="2"/>
        <v>289.31275170256959</v>
      </c>
      <c r="J26" s="207">
        <f t="shared" si="2"/>
        <v>303.77838928769808</v>
      </c>
      <c r="K26" s="207">
        <f t="shared" si="2"/>
        <v>318.967308752083</v>
      </c>
      <c r="L26" s="207">
        <f t="shared" si="2"/>
        <v>334.91567418968714</v>
      </c>
      <c r="M26" s="207">
        <f t="shared" si="2"/>
        <v>351.66145789917152</v>
      </c>
      <c r="N26" s="207">
        <f t="shared" si="2"/>
        <v>369.24453079413013</v>
      </c>
      <c r="O26" s="72"/>
      <c r="P26" s="72"/>
      <c r="Q26" s="73"/>
      <c r="R26" s="73"/>
      <c r="S26" s="73"/>
      <c r="T26" s="75"/>
      <c r="U26" s="74"/>
    </row>
    <row r="27" spans="1:21" s="76" customFormat="1" ht="30" customHeight="1">
      <c r="A27" s="252">
        <v>23</v>
      </c>
      <c r="B27" s="205" t="s">
        <v>36</v>
      </c>
      <c r="C27" s="206">
        <f>($A$200+$B$200)*'[18]نرخ تسهیم'!F25</f>
        <v>434.60324819169296</v>
      </c>
      <c r="D27" s="207">
        <f t="shared" si="2"/>
        <v>456.33341060127765</v>
      </c>
      <c r="E27" s="207">
        <f t="shared" si="2"/>
        <v>479.15008113134155</v>
      </c>
      <c r="F27" s="207">
        <f t="shared" si="2"/>
        <v>503.10758518790863</v>
      </c>
      <c r="G27" s="207">
        <f t="shared" si="2"/>
        <v>528.26296444730406</v>
      </c>
      <c r="H27" s="207">
        <f t="shared" si="2"/>
        <v>554.67611266966924</v>
      </c>
      <c r="I27" s="207">
        <f t="shared" si="2"/>
        <v>582.40991830315272</v>
      </c>
      <c r="J27" s="207">
        <f t="shared" si="2"/>
        <v>611.5304142183104</v>
      </c>
      <c r="K27" s="207">
        <f t="shared" si="2"/>
        <v>642.10693492922599</v>
      </c>
      <c r="L27" s="207">
        <f t="shared" si="2"/>
        <v>674.21228167568734</v>
      </c>
      <c r="M27" s="207">
        <f t="shared" si="2"/>
        <v>707.92289575947177</v>
      </c>
      <c r="N27" s="207">
        <f t="shared" si="2"/>
        <v>743.31904054744541</v>
      </c>
      <c r="O27" s="72"/>
      <c r="P27" s="72"/>
      <c r="Q27" s="73"/>
      <c r="R27" s="73"/>
      <c r="S27" s="73"/>
      <c r="T27" s="75"/>
      <c r="U27" s="74"/>
    </row>
    <row r="28" spans="1:21" s="76" customFormat="1" ht="30" customHeight="1">
      <c r="A28" s="252">
        <v>24</v>
      </c>
      <c r="B28" s="205" t="s">
        <v>37</v>
      </c>
      <c r="C28" s="206">
        <f>($A$200+$B$200)*'[18]نرخ تسهیم'!F26</f>
        <v>189.7142468814489</v>
      </c>
      <c r="D28" s="207">
        <f t="shared" si="2"/>
        <v>199.19995922552135</v>
      </c>
      <c r="E28" s="207">
        <f t="shared" si="2"/>
        <v>209.15995718679744</v>
      </c>
      <c r="F28" s="207">
        <f t="shared" si="2"/>
        <v>219.61795504613733</v>
      </c>
      <c r="G28" s="207">
        <f t="shared" si="2"/>
        <v>230.5988527984442</v>
      </c>
      <c r="H28" s="207">
        <f t="shared" si="2"/>
        <v>242.12879543836641</v>
      </c>
      <c r="I28" s="207">
        <f t="shared" si="2"/>
        <v>254.23523521028474</v>
      </c>
      <c r="J28" s="207">
        <f t="shared" si="2"/>
        <v>266.94699697079898</v>
      </c>
      <c r="K28" s="207">
        <f t="shared" si="2"/>
        <v>280.29434681933895</v>
      </c>
      <c r="L28" s="207">
        <f t="shared" si="2"/>
        <v>294.30906416030592</v>
      </c>
      <c r="M28" s="207">
        <f t="shared" si="2"/>
        <v>309.02451736832126</v>
      </c>
      <c r="N28" s="207">
        <f t="shared" si="2"/>
        <v>324.47574323673734</v>
      </c>
      <c r="O28" s="72"/>
      <c r="P28" s="72"/>
      <c r="Q28" s="73"/>
      <c r="R28" s="73"/>
      <c r="S28" s="73"/>
      <c r="T28" s="75"/>
      <c r="U28" s="74"/>
    </row>
    <row r="29" spans="1:21" s="76" customFormat="1" ht="30" customHeight="1">
      <c r="A29" s="252">
        <v>25</v>
      </c>
      <c r="B29" s="205" t="s">
        <v>38</v>
      </c>
      <c r="C29" s="206">
        <f>($A$200+$B$200)*'[18]نرخ تسهیم'!F27</f>
        <v>227.31879143286258</v>
      </c>
      <c r="D29" s="207">
        <f t="shared" si="2"/>
        <v>238.68473100450572</v>
      </c>
      <c r="E29" s="207">
        <f t="shared" si="2"/>
        <v>250.61896755473103</v>
      </c>
      <c r="F29" s="207">
        <f t="shared" si="2"/>
        <v>263.14991593246759</v>
      </c>
      <c r="G29" s="207">
        <f t="shared" si="2"/>
        <v>276.30741172909097</v>
      </c>
      <c r="H29" s="207">
        <f t="shared" si="2"/>
        <v>290.12278231554552</v>
      </c>
      <c r="I29" s="207">
        <f t="shared" si="2"/>
        <v>304.62892143132279</v>
      </c>
      <c r="J29" s="207">
        <f t="shared" si="2"/>
        <v>319.86036750288895</v>
      </c>
      <c r="K29" s="207">
        <f t="shared" si="2"/>
        <v>335.85338587803341</v>
      </c>
      <c r="L29" s="207">
        <f t="shared" si="2"/>
        <v>352.64605517193507</v>
      </c>
      <c r="M29" s="207">
        <f t="shared" si="2"/>
        <v>370.27835793053185</v>
      </c>
      <c r="N29" s="207">
        <f t="shared" si="2"/>
        <v>388.79227582705846</v>
      </c>
      <c r="O29" s="72"/>
      <c r="P29" s="72"/>
      <c r="Q29" s="73"/>
      <c r="R29" s="73"/>
      <c r="S29" s="73"/>
      <c r="T29" s="75"/>
      <c r="U29" s="74"/>
    </row>
    <row r="30" spans="1:21" s="76" customFormat="1" ht="30" customHeight="1">
      <c r="A30" s="252">
        <v>26</v>
      </c>
      <c r="B30" s="205" t="s">
        <v>39</v>
      </c>
      <c r="C30" s="206">
        <f>($A$200+$B$200)*'[18]نرخ تسهیم'!F28</f>
        <v>568.10044700531103</v>
      </c>
      <c r="D30" s="207">
        <f t="shared" si="2"/>
        <v>596.50546935557657</v>
      </c>
      <c r="E30" s="207">
        <f t="shared" si="2"/>
        <v>626.33074282335542</v>
      </c>
      <c r="F30" s="207">
        <f t="shared" si="2"/>
        <v>657.64727996452325</v>
      </c>
      <c r="G30" s="207">
        <f t="shared" si="2"/>
        <v>690.52964396274945</v>
      </c>
      <c r="H30" s="207">
        <f t="shared" si="2"/>
        <v>725.05612616088695</v>
      </c>
      <c r="I30" s="207">
        <f t="shared" si="2"/>
        <v>761.30893246893129</v>
      </c>
      <c r="J30" s="207">
        <f t="shared" si="2"/>
        <v>799.37437909237792</v>
      </c>
      <c r="K30" s="207">
        <f t="shared" si="2"/>
        <v>839.34309804699683</v>
      </c>
      <c r="L30" s="207">
        <f t="shared" si="2"/>
        <v>881.3102529493467</v>
      </c>
      <c r="M30" s="207">
        <f t="shared" si="2"/>
        <v>925.37576559681406</v>
      </c>
      <c r="N30" s="207">
        <f t="shared" si="2"/>
        <v>971.64455387665475</v>
      </c>
      <c r="O30" s="72"/>
      <c r="P30" s="72"/>
      <c r="Q30" s="73"/>
      <c r="R30" s="73"/>
      <c r="S30" s="73"/>
      <c r="T30" s="75"/>
      <c r="U30" s="74"/>
    </row>
    <row r="31" spans="1:21" s="76" customFormat="1" ht="30" customHeight="1">
      <c r="A31" s="252">
        <v>27</v>
      </c>
      <c r="B31" s="205" t="s">
        <v>40</v>
      </c>
      <c r="C31" s="206">
        <f>($A$200+$B$200)*'[18]نرخ تسهیم'!F29</f>
        <v>376.4110475298736</v>
      </c>
      <c r="D31" s="207">
        <f t="shared" si="2"/>
        <v>395.23159990636731</v>
      </c>
      <c r="E31" s="207">
        <f t="shared" si="2"/>
        <v>414.99317990168566</v>
      </c>
      <c r="F31" s="207">
        <f t="shared" si="2"/>
        <v>435.74283889676997</v>
      </c>
      <c r="G31" s="207">
        <f t="shared" si="2"/>
        <v>457.52998084160851</v>
      </c>
      <c r="H31" s="207">
        <f t="shared" si="2"/>
        <v>480.40647988368897</v>
      </c>
      <c r="I31" s="207">
        <f t="shared" si="2"/>
        <v>504.42680387787345</v>
      </c>
      <c r="J31" s="207">
        <f t="shared" si="2"/>
        <v>529.64814407176709</v>
      </c>
      <c r="K31" s="207">
        <f t="shared" si="2"/>
        <v>556.13055127535551</v>
      </c>
      <c r="L31" s="207">
        <f t="shared" si="2"/>
        <v>583.93707883912327</v>
      </c>
      <c r="M31" s="207">
        <f t="shared" si="2"/>
        <v>613.13393278107947</v>
      </c>
      <c r="N31" s="207">
        <f t="shared" si="2"/>
        <v>643.79062942013343</v>
      </c>
      <c r="O31" s="72"/>
      <c r="P31" s="72"/>
      <c r="Q31" s="73"/>
      <c r="R31" s="73"/>
      <c r="S31" s="73"/>
      <c r="T31" s="75"/>
      <c r="U31" s="74"/>
    </row>
    <row r="32" spans="1:21" s="76" customFormat="1" ht="30" customHeight="1">
      <c r="A32" s="252">
        <v>28</v>
      </c>
      <c r="B32" s="205" t="s">
        <v>41</v>
      </c>
      <c r="C32" s="206">
        <f>($A$200+$B$200)*'[18]نرخ تسهیم'!F30</f>
        <v>858.30196540951897</v>
      </c>
      <c r="D32" s="207">
        <f t="shared" si="2"/>
        <v>901.21706367999491</v>
      </c>
      <c r="E32" s="207">
        <f t="shared" si="2"/>
        <v>946.27791686399473</v>
      </c>
      <c r="F32" s="207">
        <f t="shared" si="2"/>
        <v>993.59181270719455</v>
      </c>
      <c r="G32" s="207">
        <f t="shared" si="2"/>
        <v>1043.2714033425543</v>
      </c>
      <c r="H32" s="207">
        <f t="shared" si="2"/>
        <v>1095.4349735096821</v>
      </c>
      <c r="I32" s="207">
        <f t="shared" si="2"/>
        <v>1150.2067221851662</v>
      </c>
      <c r="J32" s="207">
        <f t="shared" si="2"/>
        <v>1207.7170582944245</v>
      </c>
      <c r="K32" s="207">
        <f t="shared" si="2"/>
        <v>1268.1029112091458</v>
      </c>
      <c r="L32" s="207">
        <f t="shared" si="2"/>
        <v>1331.5080567696032</v>
      </c>
      <c r="M32" s="207">
        <f t="shared" si="2"/>
        <v>1398.0834596080833</v>
      </c>
      <c r="N32" s="207">
        <f t="shared" si="2"/>
        <v>1467.9876325884875</v>
      </c>
      <c r="O32" s="72"/>
      <c r="P32" s="72"/>
      <c r="Q32" s="73"/>
      <c r="R32" s="73"/>
      <c r="S32" s="73"/>
      <c r="T32" s="75"/>
      <c r="U32" s="74"/>
    </row>
    <row r="33" spans="1:21" s="76" customFormat="1" ht="30" customHeight="1">
      <c r="A33" s="252">
        <v>29</v>
      </c>
      <c r="B33" s="205" t="s">
        <v>42</v>
      </c>
      <c r="C33" s="206">
        <f>($A$200+$B$200)*'[18]نرخ تسهیم'!F31</f>
        <v>181.13694488219627</v>
      </c>
      <c r="D33" s="207">
        <f t="shared" si="2"/>
        <v>190.19379212630611</v>
      </c>
      <c r="E33" s="207">
        <f t="shared" si="2"/>
        <v>199.70348173262141</v>
      </c>
      <c r="F33" s="207">
        <f t="shared" si="2"/>
        <v>209.68865581925249</v>
      </c>
      <c r="G33" s="207">
        <f t="shared" si="2"/>
        <v>220.17308861021513</v>
      </c>
      <c r="H33" s="207">
        <f t="shared" si="2"/>
        <v>231.18174304072591</v>
      </c>
      <c r="I33" s="207">
        <f t="shared" si="2"/>
        <v>242.74083019276222</v>
      </c>
      <c r="J33" s="207">
        <f t="shared" si="2"/>
        <v>254.87787170240034</v>
      </c>
      <c r="K33" s="207">
        <f t="shared" si="2"/>
        <v>267.62176528752036</v>
      </c>
      <c r="L33" s="207">
        <f t="shared" si="2"/>
        <v>281.00285355189641</v>
      </c>
      <c r="M33" s="207">
        <f t="shared" si="2"/>
        <v>295.05299622949121</v>
      </c>
      <c r="N33" s="207">
        <f t="shared" si="2"/>
        <v>309.80564604096577</v>
      </c>
      <c r="O33" s="72"/>
      <c r="P33" s="72"/>
      <c r="Q33" s="73"/>
      <c r="R33" s="73"/>
      <c r="S33" s="73"/>
      <c r="T33" s="75"/>
      <c r="U33" s="74"/>
    </row>
    <row r="34" spans="1:21" s="76" customFormat="1" ht="30" customHeight="1">
      <c r="A34" s="252">
        <v>30</v>
      </c>
      <c r="B34" s="205" t="s">
        <v>43</v>
      </c>
      <c r="C34" s="206">
        <f>($A$200+$B$200)*'[18]نرخ تسهیم'!F32</f>
        <v>27.825920233634211</v>
      </c>
      <c r="D34" s="207">
        <f t="shared" si="2"/>
        <v>29.217216245315921</v>
      </c>
      <c r="E34" s="207">
        <f t="shared" si="2"/>
        <v>30.678077057581717</v>
      </c>
      <c r="F34" s="207">
        <f t="shared" si="2"/>
        <v>32.211980910460802</v>
      </c>
      <c r="G34" s="207">
        <f t="shared" si="2"/>
        <v>33.822579955983841</v>
      </c>
      <c r="H34" s="207">
        <f t="shared" si="2"/>
        <v>35.513708953783038</v>
      </c>
      <c r="I34" s="207">
        <f t="shared" si="2"/>
        <v>37.289394401472194</v>
      </c>
      <c r="J34" s="207">
        <f t="shared" si="2"/>
        <v>39.153864121545809</v>
      </c>
      <c r="K34" s="207">
        <f t="shared" si="2"/>
        <v>41.111557327623103</v>
      </c>
      <c r="L34" s="207">
        <f t="shared" si="2"/>
        <v>43.16713519400426</v>
      </c>
      <c r="M34" s="207">
        <f t="shared" si="2"/>
        <v>45.325491953704471</v>
      </c>
      <c r="N34" s="207">
        <f t="shared" si="2"/>
        <v>47.591766551389696</v>
      </c>
      <c r="O34" s="72"/>
      <c r="P34" s="72"/>
      <c r="Q34" s="73"/>
      <c r="R34" s="73"/>
      <c r="S34" s="73"/>
      <c r="T34" s="75"/>
      <c r="U34" s="74"/>
    </row>
    <row r="35" spans="1:21" s="76" customFormat="1" ht="30" customHeight="1">
      <c r="A35" s="252">
        <v>31</v>
      </c>
      <c r="B35" s="205" t="s">
        <v>44</v>
      </c>
      <c r="C35" s="206">
        <f>($A$200+$B$200)*'[18]نرخ تسهیم'!F33</f>
        <v>405.53747807285117</v>
      </c>
      <c r="D35" s="207">
        <f t="shared" si="2"/>
        <v>425.81435197649375</v>
      </c>
      <c r="E35" s="207">
        <f t="shared" si="2"/>
        <v>447.10506957531845</v>
      </c>
      <c r="F35" s="207">
        <f t="shared" si="2"/>
        <v>469.46032305408437</v>
      </c>
      <c r="G35" s="207">
        <f t="shared" si="2"/>
        <v>492.93333920678862</v>
      </c>
      <c r="H35" s="207">
        <f t="shared" si="2"/>
        <v>517.58000616712809</v>
      </c>
      <c r="I35" s="207">
        <f t="shared" si="2"/>
        <v>543.45900647548456</v>
      </c>
      <c r="J35" s="207">
        <f t="shared" si="2"/>
        <v>570.63195679925877</v>
      </c>
      <c r="K35" s="207">
        <f t="shared" si="2"/>
        <v>599.16355463922173</v>
      </c>
      <c r="L35" s="207">
        <f t="shared" si="2"/>
        <v>629.12173237118282</v>
      </c>
      <c r="M35" s="207">
        <f t="shared" si="2"/>
        <v>660.57781898974201</v>
      </c>
      <c r="N35" s="207">
        <f t="shared" si="2"/>
        <v>693.60670993922918</v>
      </c>
      <c r="O35" s="72"/>
      <c r="P35" s="72"/>
      <c r="Q35" s="73"/>
      <c r="R35" s="73"/>
      <c r="S35" s="73"/>
      <c r="T35" s="75"/>
      <c r="U35" s="74"/>
    </row>
    <row r="36" spans="1:21" s="76" customFormat="1" ht="30" customHeight="1">
      <c r="A36" s="252">
        <v>32</v>
      </c>
      <c r="B36" s="205" t="s">
        <v>45</v>
      </c>
      <c r="C36" s="206">
        <f>($A$200+$B$200)*'[18]نرخ تسهیم'!F34</f>
        <v>111.23113434621231</v>
      </c>
      <c r="D36" s="207">
        <f t="shared" si="2"/>
        <v>116.79269106352294</v>
      </c>
      <c r="E36" s="207">
        <f t="shared" si="2"/>
        <v>122.63232561669909</v>
      </c>
      <c r="F36" s="207">
        <f t="shared" si="2"/>
        <v>128.76394189753404</v>
      </c>
      <c r="G36" s="207">
        <f t="shared" si="2"/>
        <v>135.20213899241074</v>
      </c>
      <c r="H36" s="207">
        <f t="shared" si="2"/>
        <v>141.96224594203127</v>
      </c>
      <c r="I36" s="207">
        <f t="shared" si="2"/>
        <v>149.06035823913285</v>
      </c>
      <c r="J36" s="207">
        <f t="shared" si="2"/>
        <v>156.51337615108949</v>
      </c>
      <c r="K36" s="207">
        <f t="shared" si="2"/>
        <v>164.33904495864397</v>
      </c>
      <c r="L36" s="207">
        <f t="shared" si="2"/>
        <v>172.55599720657617</v>
      </c>
      <c r="M36" s="207">
        <f t="shared" si="2"/>
        <v>181.18379706690499</v>
      </c>
      <c r="N36" s="207">
        <f t="shared" si="2"/>
        <v>190.24298692025025</v>
      </c>
      <c r="O36" s="72"/>
      <c r="P36" s="72"/>
      <c r="Q36" s="73"/>
      <c r="R36" s="73"/>
      <c r="S36" s="73"/>
      <c r="T36" s="75"/>
      <c r="U36" s="74"/>
    </row>
    <row r="37" spans="1:21" s="79" customFormat="1" ht="30" customHeight="1">
      <c r="A37" s="412" t="s">
        <v>107</v>
      </c>
      <c r="B37" s="412"/>
      <c r="C37" s="206">
        <f t="shared" ref="C37:N37" si="3">SUM(C5:C36)</f>
        <v>13225</v>
      </c>
      <c r="D37" s="206">
        <f t="shared" si="3"/>
        <v>13886.249999999998</v>
      </c>
      <c r="E37" s="206">
        <f t="shared" si="3"/>
        <v>14580.562500000004</v>
      </c>
      <c r="F37" s="206">
        <f t="shared" si="3"/>
        <v>15309.590624999999</v>
      </c>
      <c r="G37" s="206">
        <f t="shared" si="3"/>
        <v>16075.07015625</v>
      </c>
      <c r="H37" s="206">
        <f t="shared" si="3"/>
        <v>16878.823664062504</v>
      </c>
      <c r="I37" s="206">
        <f t="shared" si="3"/>
        <v>17722.764847265622</v>
      </c>
      <c r="J37" s="206">
        <f t="shared" si="3"/>
        <v>18608.9030896289</v>
      </c>
      <c r="K37" s="206">
        <f t="shared" si="3"/>
        <v>19539.348244110359</v>
      </c>
      <c r="L37" s="206">
        <f t="shared" si="3"/>
        <v>20516.315656315877</v>
      </c>
      <c r="M37" s="206">
        <f t="shared" si="3"/>
        <v>21542.13143913167</v>
      </c>
      <c r="N37" s="206">
        <f t="shared" si="3"/>
        <v>22619.238011088248</v>
      </c>
      <c r="O37" s="72"/>
      <c r="P37" s="72"/>
      <c r="Q37" s="73"/>
      <c r="R37" s="73"/>
      <c r="S37" s="73"/>
      <c r="T37" s="77"/>
      <c r="U37" s="78"/>
    </row>
    <row r="199" spans="1:20" s="33" customFormat="1" ht="35.1" customHeight="1">
      <c r="D199" s="80"/>
      <c r="E199" s="80"/>
      <c r="F199" s="80"/>
      <c r="G199" s="80"/>
      <c r="H199" s="80"/>
      <c r="I199" s="80"/>
      <c r="J199" s="80"/>
      <c r="K199" s="80"/>
      <c r="L199" s="80"/>
      <c r="M199" s="80"/>
      <c r="N199" s="81"/>
      <c r="O199" s="32"/>
      <c r="P199" s="32"/>
      <c r="Q199" s="32"/>
      <c r="R199" s="32"/>
      <c r="T199" s="34"/>
    </row>
    <row r="200" spans="1:20" s="33" customFormat="1" ht="35.1" customHeight="1">
      <c r="A200" s="33">
        <f>'[18]عملیات-فعالیت ها '!$L$15</f>
        <v>13225</v>
      </c>
      <c r="B200" s="33">
        <f>'[18]عملیات-فعالیت ها '!$M$15</f>
        <v>0</v>
      </c>
      <c r="D200" s="80"/>
      <c r="E200" s="80"/>
      <c r="F200" s="80"/>
      <c r="G200" s="80"/>
      <c r="H200" s="80"/>
      <c r="I200" s="80"/>
      <c r="J200" s="80"/>
      <c r="K200" s="80"/>
      <c r="L200" s="80"/>
      <c r="M200" s="80"/>
      <c r="N200" s="81"/>
      <c r="O200" s="32"/>
      <c r="P200" s="32"/>
      <c r="Q200" s="32"/>
      <c r="R200" s="32"/>
      <c r="T200" s="34"/>
    </row>
    <row r="201" spans="1:20" s="33" customFormat="1" ht="35.1" customHeight="1">
      <c r="D201" s="80"/>
      <c r="E201" s="80"/>
      <c r="F201" s="80"/>
      <c r="G201" s="80"/>
      <c r="H201" s="80"/>
      <c r="I201" s="80"/>
      <c r="J201" s="80"/>
      <c r="K201" s="80"/>
      <c r="L201" s="80"/>
      <c r="M201" s="80"/>
      <c r="N201" s="81"/>
      <c r="O201" s="32"/>
      <c r="P201" s="32"/>
      <c r="Q201" s="32"/>
      <c r="R201" s="32"/>
      <c r="T201" s="34"/>
    </row>
  </sheetData>
  <mergeCells count="17">
    <mergeCell ref="A37:B37"/>
    <mergeCell ref="I3:I4"/>
    <mergeCell ref="J3:J4"/>
    <mergeCell ref="K3:K4"/>
    <mergeCell ref="L3:L4"/>
    <mergeCell ref="M3:M4"/>
    <mergeCell ref="N3:N4"/>
    <mergeCell ref="A1:N1"/>
    <mergeCell ref="A2:A4"/>
    <mergeCell ref="B2:B4"/>
    <mergeCell ref="C2:C4"/>
    <mergeCell ref="D2:D4"/>
    <mergeCell ref="E2:I2"/>
    <mergeCell ref="J2:N2"/>
    <mergeCell ref="E3:F3"/>
    <mergeCell ref="G3:G4"/>
    <mergeCell ref="H3:H4"/>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250"/>
  <sheetViews>
    <sheetView showGridLines="0" rightToLeft="1" workbookViewId="0">
      <pane xSplit="25" topLeftCell="Z1" activePane="topRight" state="frozen"/>
      <selection pane="topRight" sqref="A1:M1"/>
    </sheetView>
  </sheetViews>
  <sheetFormatPr defaultColWidth="28.6640625" defaultRowHeight="5.65" customHeight="1"/>
  <cols>
    <col min="1" max="1" width="9.33203125" style="3" customWidth="1"/>
    <col min="2" max="2" width="55.5" style="3" customWidth="1"/>
    <col min="3" max="3" width="9" style="125" customWidth="1"/>
    <col min="4" max="9" width="6.6640625" style="126" customWidth="1"/>
    <col min="10" max="12" width="12.5" style="3" customWidth="1"/>
    <col min="13" max="13" width="12.1640625" style="2" customWidth="1"/>
    <col min="14" max="18" width="10.1640625" style="124" hidden="1" customWidth="1"/>
    <col min="19" max="23" width="10.33203125" style="124" hidden="1" customWidth="1"/>
    <col min="24" max="24" width="10.1640625" style="121" hidden="1" customWidth="1"/>
    <col min="25" max="25" width="0.1640625" style="121" customWidth="1"/>
    <col min="26" max="26" width="10.33203125" style="121" customWidth="1"/>
    <col min="27" max="27" width="28.6640625" style="2"/>
    <col min="28" max="16384" width="28.6640625" style="3"/>
  </cols>
  <sheetData>
    <row r="1" spans="1:26" ht="60.75" customHeight="1">
      <c r="A1" s="413" t="s">
        <v>250</v>
      </c>
      <c r="B1" s="413"/>
      <c r="C1" s="413"/>
      <c r="D1" s="413"/>
      <c r="E1" s="413"/>
      <c r="F1" s="413"/>
      <c r="G1" s="413"/>
      <c r="H1" s="413"/>
      <c r="I1" s="413"/>
      <c r="J1" s="413"/>
      <c r="K1" s="413"/>
      <c r="L1" s="413"/>
      <c r="M1" s="413"/>
    </row>
    <row r="2" spans="1:26" ht="33.75" customHeight="1">
      <c r="A2" s="262">
        <f>$M$16</f>
        <v>2</v>
      </c>
      <c r="B2" s="430" t="s">
        <v>134</v>
      </c>
      <c r="C2" s="383" t="s">
        <v>135</v>
      </c>
      <c r="D2" s="384" t="s">
        <v>136</v>
      </c>
      <c r="E2" s="384"/>
      <c r="F2" s="384"/>
      <c r="G2" s="384"/>
      <c r="H2" s="384" t="s">
        <v>137</v>
      </c>
      <c r="I2" s="384" t="s">
        <v>138</v>
      </c>
      <c r="J2" s="385" t="s">
        <v>139</v>
      </c>
      <c r="K2" s="385" t="s">
        <v>140</v>
      </c>
      <c r="L2" s="385" t="s">
        <v>141</v>
      </c>
      <c r="M2" s="386" t="s">
        <v>142</v>
      </c>
    </row>
    <row r="3" spans="1:26" ht="31.5" customHeight="1">
      <c r="A3" s="263" t="s">
        <v>0</v>
      </c>
      <c r="B3" s="430"/>
      <c r="C3" s="383"/>
      <c r="D3" s="208" t="s">
        <v>143</v>
      </c>
      <c r="E3" s="208" t="s">
        <v>144</v>
      </c>
      <c r="F3" s="208" t="s">
        <v>145</v>
      </c>
      <c r="G3" s="208" t="s">
        <v>146</v>
      </c>
      <c r="H3" s="384"/>
      <c r="I3" s="384"/>
      <c r="J3" s="385"/>
      <c r="K3" s="385"/>
      <c r="L3" s="385"/>
      <c r="M3" s="386"/>
      <c r="N3" s="124" t="s">
        <v>147</v>
      </c>
      <c r="O3" s="124" t="s">
        <v>148</v>
      </c>
      <c r="P3" s="124" t="s">
        <v>149</v>
      </c>
      <c r="Q3" s="124" t="s">
        <v>150</v>
      </c>
      <c r="R3" s="124" t="s">
        <v>147</v>
      </c>
      <c r="S3" s="124" t="s">
        <v>148</v>
      </c>
      <c r="T3" s="124" t="s">
        <v>149</v>
      </c>
      <c r="U3" s="124" t="s">
        <v>150</v>
      </c>
      <c r="V3" s="124" t="s">
        <v>151</v>
      </c>
      <c r="W3" s="124" t="s">
        <v>152</v>
      </c>
      <c r="X3" s="121" t="s">
        <v>153</v>
      </c>
      <c r="Y3" s="121" t="s">
        <v>154</v>
      </c>
    </row>
    <row r="4" spans="1:26" ht="54.95" customHeight="1">
      <c r="A4" s="209">
        <v>1</v>
      </c>
      <c r="B4" s="250" t="s">
        <v>251</v>
      </c>
      <c r="C4" s="211">
        <v>3</v>
      </c>
      <c r="D4" s="212">
        <v>0</v>
      </c>
      <c r="E4" s="212">
        <v>1</v>
      </c>
      <c r="F4" s="212">
        <v>0</v>
      </c>
      <c r="G4" s="212">
        <v>0</v>
      </c>
      <c r="H4" s="212">
        <v>4</v>
      </c>
      <c r="I4" s="212">
        <v>4</v>
      </c>
      <c r="J4" s="213">
        <v>0</v>
      </c>
      <c r="K4" s="213">
        <v>0</v>
      </c>
      <c r="L4" s="213">
        <f t="shared" ref="L4:L14" si="0">(((J4*C4)/$A$2)*D4)+(((J4*C4)/$A$2)*E4)+(((J4*C4)/$A$2)*F4)+(((J4*C4)/$A$2)*G4)</f>
        <v>0</v>
      </c>
      <c r="M4" s="214">
        <f t="shared" ref="M4:M14" si="1">(((K4*C4)/$A$2)*D4)+(((K4*C4)/$A$2)*E4)+(((K4*C4)/$A$2)*F4)+(((K4*C4)/$A$2)*G4)</f>
        <v>0</v>
      </c>
      <c r="N4" s="133">
        <f t="shared" ref="N4:N14" si="2">J4*D4*C4/$A$2</f>
        <v>0</v>
      </c>
      <c r="O4" s="133">
        <f t="shared" ref="O4:O14" si="3">J4*E4*C4/$A$2</f>
        <v>0</v>
      </c>
      <c r="P4" s="133">
        <f>J4*F4*C4/$A$2</f>
        <v>0</v>
      </c>
      <c r="Q4" s="133">
        <f t="shared" ref="Q4:Q14" si="4">J4*G4*C4/$A$2</f>
        <v>0</v>
      </c>
      <c r="R4" s="133">
        <f t="shared" ref="R4:R14" si="5">K4*D4*C4/$A$2</f>
        <v>0</v>
      </c>
      <c r="S4" s="133">
        <f t="shared" ref="S4:S14" si="6">K4*E4*C4/$A$2</f>
        <v>0</v>
      </c>
      <c r="T4" s="133">
        <f t="shared" ref="T4:T14" si="7">K4*F4*C4/$A$2</f>
        <v>0</v>
      </c>
      <c r="U4" s="133">
        <f t="shared" ref="U4:U14" si="8">K4*G4*C4/$A$2</f>
        <v>0</v>
      </c>
      <c r="V4" s="121">
        <f t="shared" ref="V4:V14" si="9">((L4/15)*((I4+H4)-2))</f>
        <v>0</v>
      </c>
      <c r="W4" s="121">
        <f t="shared" ref="W4:W14" si="10">((M4/15)*((I4+H4)-2))</f>
        <v>0</v>
      </c>
      <c r="X4" s="121">
        <f>L4*(V4/(V4-0.0000001))</f>
        <v>0</v>
      </c>
      <c r="Y4" s="121">
        <f>M4*(W4/(W4-0.0000001))</f>
        <v>0</v>
      </c>
      <c r="Z4" s="2"/>
    </row>
    <row r="5" spans="1:26" ht="54.95" customHeight="1">
      <c r="A5" s="209">
        <v>2</v>
      </c>
      <c r="B5" s="250" t="s">
        <v>252</v>
      </c>
      <c r="C5" s="211">
        <v>4</v>
      </c>
      <c r="D5" s="212">
        <v>0</v>
      </c>
      <c r="E5" s="212">
        <v>1</v>
      </c>
      <c r="F5" s="212">
        <v>0</v>
      </c>
      <c r="G5" s="212">
        <v>0</v>
      </c>
      <c r="H5" s="212">
        <v>4</v>
      </c>
      <c r="I5" s="212">
        <v>4</v>
      </c>
      <c r="J5" s="213">
        <v>0</v>
      </c>
      <c r="K5" s="213">
        <v>0</v>
      </c>
      <c r="L5" s="213">
        <f t="shared" si="0"/>
        <v>0</v>
      </c>
      <c r="M5" s="214">
        <f t="shared" si="1"/>
        <v>0</v>
      </c>
      <c r="N5" s="133">
        <f t="shared" si="2"/>
        <v>0</v>
      </c>
      <c r="O5" s="133">
        <f t="shared" si="3"/>
        <v>0</v>
      </c>
      <c r="P5" s="133">
        <f t="shared" ref="P5:P14" si="11">J5*F5*C5/$A$2</f>
        <v>0</v>
      </c>
      <c r="Q5" s="133">
        <f t="shared" si="4"/>
        <v>0</v>
      </c>
      <c r="R5" s="133">
        <f t="shared" si="5"/>
        <v>0</v>
      </c>
      <c r="S5" s="133">
        <f t="shared" si="6"/>
        <v>0</v>
      </c>
      <c r="T5" s="133">
        <f t="shared" si="7"/>
        <v>0</v>
      </c>
      <c r="U5" s="133">
        <f t="shared" si="8"/>
        <v>0</v>
      </c>
      <c r="V5" s="121">
        <f t="shared" si="9"/>
        <v>0</v>
      </c>
      <c r="W5" s="121">
        <f t="shared" si="10"/>
        <v>0</v>
      </c>
      <c r="X5" s="121">
        <f t="shared" ref="X5:Y14" si="12">L5*(V5/(V5-0.0000001))</f>
        <v>0</v>
      </c>
      <c r="Y5" s="121">
        <f t="shared" si="12"/>
        <v>0</v>
      </c>
      <c r="Z5" s="2"/>
    </row>
    <row r="6" spans="1:26" ht="54.95" customHeight="1">
      <c r="A6" s="209">
        <v>3</v>
      </c>
      <c r="B6" s="250" t="s">
        <v>253</v>
      </c>
      <c r="C6" s="211">
        <v>5</v>
      </c>
      <c r="D6" s="212">
        <v>0</v>
      </c>
      <c r="E6" s="212">
        <v>1</v>
      </c>
      <c r="F6" s="212">
        <v>0</v>
      </c>
      <c r="G6" s="212">
        <v>0</v>
      </c>
      <c r="H6" s="212">
        <v>4</v>
      </c>
      <c r="I6" s="212">
        <v>4</v>
      </c>
      <c r="J6" s="213">
        <v>0</v>
      </c>
      <c r="K6" s="213">
        <v>0</v>
      </c>
      <c r="L6" s="213">
        <f t="shared" si="0"/>
        <v>0</v>
      </c>
      <c r="M6" s="214">
        <f t="shared" si="1"/>
        <v>0</v>
      </c>
      <c r="N6" s="133">
        <f t="shared" si="2"/>
        <v>0</v>
      </c>
      <c r="O6" s="133">
        <f t="shared" si="3"/>
        <v>0</v>
      </c>
      <c r="P6" s="133">
        <f t="shared" si="11"/>
        <v>0</v>
      </c>
      <c r="Q6" s="133">
        <f t="shared" si="4"/>
        <v>0</v>
      </c>
      <c r="R6" s="133">
        <f t="shared" si="5"/>
        <v>0</v>
      </c>
      <c r="S6" s="133">
        <f t="shared" si="6"/>
        <v>0</v>
      </c>
      <c r="T6" s="133">
        <f t="shared" si="7"/>
        <v>0</v>
      </c>
      <c r="U6" s="133">
        <f t="shared" si="8"/>
        <v>0</v>
      </c>
      <c r="V6" s="121">
        <f t="shared" si="9"/>
        <v>0</v>
      </c>
      <c r="W6" s="121">
        <f t="shared" si="10"/>
        <v>0</v>
      </c>
      <c r="X6" s="121">
        <f t="shared" si="12"/>
        <v>0</v>
      </c>
      <c r="Y6" s="121">
        <f t="shared" si="12"/>
        <v>0</v>
      </c>
      <c r="Z6" s="2"/>
    </row>
    <row r="7" spans="1:26" ht="54.95" customHeight="1">
      <c r="A7" s="209">
        <v>4</v>
      </c>
      <c r="B7" s="250" t="s">
        <v>254</v>
      </c>
      <c r="C7" s="211">
        <v>2</v>
      </c>
      <c r="D7" s="212">
        <v>0</v>
      </c>
      <c r="E7" s="212">
        <v>1</v>
      </c>
      <c r="F7" s="212">
        <v>0</v>
      </c>
      <c r="G7" s="212">
        <v>0</v>
      </c>
      <c r="H7" s="212">
        <v>4</v>
      </c>
      <c r="I7" s="212">
        <v>4</v>
      </c>
      <c r="J7" s="213">
        <v>0</v>
      </c>
      <c r="K7" s="213">
        <v>0</v>
      </c>
      <c r="L7" s="213">
        <f t="shared" si="0"/>
        <v>0</v>
      </c>
      <c r="M7" s="214">
        <f t="shared" si="1"/>
        <v>0</v>
      </c>
      <c r="N7" s="133">
        <f t="shared" si="2"/>
        <v>0</v>
      </c>
      <c r="O7" s="133">
        <f t="shared" si="3"/>
        <v>0</v>
      </c>
      <c r="P7" s="133">
        <f t="shared" si="11"/>
        <v>0</v>
      </c>
      <c r="Q7" s="133">
        <f t="shared" si="4"/>
        <v>0</v>
      </c>
      <c r="R7" s="133">
        <f t="shared" si="5"/>
        <v>0</v>
      </c>
      <c r="S7" s="133">
        <f t="shared" si="6"/>
        <v>0</v>
      </c>
      <c r="T7" s="133">
        <f t="shared" si="7"/>
        <v>0</v>
      </c>
      <c r="U7" s="133">
        <f t="shared" si="8"/>
        <v>0</v>
      </c>
      <c r="V7" s="121">
        <f t="shared" si="9"/>
        <v>0</v>
      </c>
      <c r="W7" s="121">
        <f t="shared" si="10"/>
        <v>0</v>
      </c>
      <c r="X7" s="121">
        <f t="shared" si="12"/>
        <v>0</v>
      </c>
      <c r="Y7" s="121">
        <f t="shared" si="12"/>
        <v>0</v>
      </c>
      <c r="Z7" s="2"/>
    </row>
    <row r="8" spans="1:26" ht="54.95" customHeight="1">
      <c r="A8" s="209">
        <v>5</v>
      </c>
      <c r="B8" s="250" t="s">
        <v>255</v>
      </c>
      <c r="C8" s="211">
        <v>3</v>
      </c>
      <c r="D8" s="212">
        <v>0</v>
      </c>
      <c r="E8" s="212">
        <v>1</v>
      </c>
      <c r="F8" s="212">
        <v>0</v>
      </c>
      <c r="G8" s="212">
        <v>0</v>
      </c>
      <c r="H8" s="212">
        <v>4</v>
      </c>
      <c r="I8" s="212">
        <v>4</v>
      </c>
      <c r="J8" s="213">
        <v>0</v>
      </c>
      <c r="K8" s="213">
        <v>0</v>
      </c>
      <c r="L8" s="213">
        <f t="shared" si="0"/>
        <v>0</v>
      </c>
      <c r="M8" s="214">
        <f t="shared" si="1"/>
        <v>0</v>
      </c>
      <c r="N8" s="133">
        <f t="shared" si="2"/>
        <v>0</v>
      </c>
      <c r="O8" s="133">
        <f t="shared" si="3"/>
        <v>0</v>
      </c>
      <c r="P8" s="133">
        <f t="shared" si="11"/>
        <v>0</v>
      </c>
      <c r="Q8" s="133">
        <f t="shared" si="4"/>
        <v>0</v>
      </c>
      <c r="R8" s="133">
        <f t="shared" si="5"/>
        <v>0</v>
      </c>
      <c r="S8" s="133">
        <f t="shared" si="6"/>
        <v>0</v>
      </c>
      <c r="T8" s="133">
        <f t="shared" si="7"/>
        <v>0</v>
      </c>
      <c r="U8" s="133">
        <f t="shared" si="8"/>
        <v>0</v>
      </c>
      <c r="V8" s="121">
        <f t="shared" si="9"/>
        <v>0</v>
      </c>
      <c r="W8" s="121">
        <f t="shared" si="10"/>
        <v>0</v>
      </c>
      <c r="X8" s="121">
        <f t="shared" si="12"/>
        <v>0</v>
      </c>
      <c r="Y8" s="121">
        <f t="shared" si="12"/>
        <v>0</v>
      </c>
      <c r="Z8" s="2"/>
    </row>
    <row r="9" spans="1:26" ht="54.95" customHeight="1">
      <c r="A9" s="209">
        <v>6</v>
      </c>
      <c r="B9" s="250" t="s">
        <v>256</v>
      </c>
      <c r="C9" s="211">
        <v>4</v>
      </c>
      <c r="D9" s="212">
        <v>0</v>
      </c>
      <c r="E9" s="212">
        <v>1</v>
      </c>
      <c r="F9" s="212">
        <v>0</v>
      </c>
      <c r="G9" s="212">
        <v>0</v>
      </c>
      <c r="H9" s="212">
        <v>4</v>
      </c>
      <c r="I9" s="212">
        <v>4</v>
      </c>
      <c r="J9" s="213">
        <v>0</v>
      </c>
      <c r="K9" s="213">
        <v>0</v>
      </c>
      <c r="L9" s="213">
        <f t="shared" si="0"/>
        <v>0</v>
      </c>
      <c r="M9" s="214">
        <f t="shared" si="1"/>
        <v>0</v>
      </c>
      <c r="N9" s="133">
        <f t="shared" si="2"/>
        <v>0</v>
      </c>
      <c r="O9" s="133">
        <f t="shared" si="3"/>
        <v>0</v>
      </c>
      <c r="P9" s="133">
        <f t="shared" si="11"/>
        <v>0</v>
      </c>
      <c r="Q9" s="133">
        <f t="shared" si="4"/>
        <v>0</v>
      </c>
      <c r="R9" s="133">
        <f t="shared" si="5"/>
        <v>0</v>
      </c>
      <c r="S9" s="133">
        <f t="shared" si="6"/>
        <v>0</v>
      </c>
      <c r="T9" s="133">
        <f t="shared" si="7"/>
        <v>0</v>
      </c>
      <c r="U9" s="133">
        <f t="shared" si="8"/>
        <v>0</v>
      </c>
      <c r="V9" s="121">
        <f t="shared" si="9"/>
        <v>0</v>
      </c>
      <c r="W9" s="121">
        <f t="shared" si="10"/>
        <v>0</v>
      </c>
      <c r="X9" s="121">
        <f t="shared" si="12"/>
        <v>0</v>
      </c>
      <c r="Y9" s="121">
        <f t="shared" si="12"/>
        <v>0</v>
      </c>
      <c r="Z9" s="2"/>
    </row>
    <row r="10" spans="1:26" s="2" customFormat="1" ht="54.95" customHeight="1">
      <c r="A10" s="209">
        <v>7</v>
      </c>
      <c r="B10" s="250" t="s">
        <v>244</v>
      </c>
      <c r="C10" s="211">
        <v>6</v>
      </c>
      <c r="D10" s="212">
        <v>0</v>
      </c>
      <c r="E10" s="212">
        <v>1</v>
      </c>
      <c r="F10" s="212">
        <v>0</v>
      </c>
      <c r="G10" s="212">
        <v>1</v>
      </c>
      <c r="H10" s="212">
        <v>5</v>
      </c>
      <c r="I10" s="212">
        <v>4</v>
      </c>
      <c r="J10" s="213">
        <v>0</v>
      </c>
      <c r="K10" s="213">
        <v>0</v>
      </c>
      <c r="L10" s="213">
        <f t="shared" si="0"/>
        <v>0</v>
      </c>
      <c r="M10" s="214">
        <f t="shared" si="1"/>
        <v>0</v>
      </c>
      <c r="N10" s="133">
        <f t="shared" si="2"/>
        <v>0</v>
      </c>
      <c r="O10" s="133">
        <f t="shared" si="3"/>
        <v>0</v>
      </c>
      <c r="P10" s="133">
        <f t="shared" si="11"/>
        <v>0</v>
      </c>
      <c r="Q10" s="133">
        <f t="shared" si="4"/>
        <v>0</v>
      </c>
      <c r="R10" s="133">
        <f t="shared" si="5"/>
        <v>0</v>
      </c>
      <c r="S10" s="133">
        <f t="shared" si="6"/>
        <v>0</v>
      </c>
      <c r="T10" s="133">
        <f t="shared" si="7"/>
        <v>0</v>
      </c>
      <c r="U10" s="133">
        <f t="shared" si="8"/>
        <v>0</v>
      </c>
      <c r="V10" s="121">
        <f t="shared" si="9"/>
        <v>0</v>
      </c>
      <c r="W10" s="121">
        <f t="shared" si="10"/>
        <v>0</v>
      </c>
      <c r="X10" s="121">
        <f t="shared" si="12"/>
        <v>0</v>
      </c>
      <c r="Y10" s="121">
        <f t="shared" si="12"/>
        <v>0</v>
      </c>
    </row>
    <row r="11" spans="1:26" s="2" customFormat="1" ht="54.95" customHeight="1">
      <c r="A11" s="209">
        <v>8</v>
      </c>
      <c r="B11" s="250" t="s">
        <v>245</v>
      </c>
      <c r="C11" s="211">
        <v>1.1999999999999999E-3</v>
      </c>
      <c r="D11" s="212">
        <v>0</v>
      </c>
      <c r="E11" s="212">
        <v>0</v>
      </c>
      <c r="F11" s="212">
        <v>0</v>
      </c>
      <c r="G11" s="212">
        <v>1</v>
      </c>
      <c r="H11" s="212">
        <v>1</v>
      </c>
      <c r="I11" s="212">
        <v>4</v>
      </c>
      <c r="J11" s="213">
        <v>0</v>
      </c>
      <c r="K11" s="213">
        <v>0</v>
      </c>
      <c r="L11" s="213">
        <f t="shared" si="0"/>
        <v>0</v>
      </c>
      <c r="M11" s="214">
        <f t="shared" si="1"/>
        <v>0</v>
      </c>
      <c r="N11" s="133">
        <f t="shared" si="2"/>
        <v>0</v>
      </c>
      <c r="O11" s="133">
        <f t="shared" si="3"/>
        <v>0</v>
      </c>
      <c r="P11" s="133">
        <f t="shared" si="11"/>
        <v>0</v>
      </c>
      <c r="Q11" s="133">
        <f t="shared" si="4"/>
        <v>0</v>
      </c>
      <c r="R11" s="133">
        <f t="shared" si="5"/>
        <v>0</v>
      </c>
      <c r="S11" s="133">
        <f t="shared" si="6"/>
        <v>0</v>
      </c>
      <c r="T11" s="133">
        <f t="shared" si="7"/>
        <v>0</v>
      </c>
      <c r="U11" s="133">
        <f t="shared" si="8"/>
        <v>0</v>
      </c>
      <c r="V11" s="121">
        <f t="shared" si="9"/>
        <v>0</v>
      </c>
      <c r="W11" s="121">
        <f t="shared" si="10"/>
        <v>0</v>
      </c>
      <c r="X11" s="121">
        <f t="shared" si="12"/>
        <v>0</v>
      </c>
      <c r="Y11" s="121">
        <f t="shared" si="12"/>
        <v>0</v>
      </c>
    </row>
    <row r="12" spans="1:26" s="2" customFormat="1" ht="54.95" customHeight="1">
      <c r="A12" s="209">
        <v>9</v>
      </c>
      <c r="B12" s="250" t="s">
        <v>246</v>
      </c>
      <c r="C12" s="211">
        <v>6.0000000000000001E-3</v>
      </c>
      <c r="D12" s="212">
        <v>0</v>
      </c>
      <c r="E12" s="212">
        <v>0</v>
      </c>
      <c r="F12" s="212">
        <v>0</v>
      </c>
      <c r="G12" s="212">
        <v>1</v>
      </c>
      <c r="H12" s="212">
        <v>1</v>
      </c>
      <c r="I12" s="212">
        <v>4</v>
      </c>
      <c r="J12" s="213">
        <v>0</v>
      </c>
      <c r="K12" s="213">
        <v>0</v>
      </c>
      <c r="L12" s="213">
        <f t="shared" si="0"/>
        <v>0</v>
      </c>
      <c r="M12" s="214">
        <f t="shared" si="1"/>
        <v>0</v>
      </c>
      <c r="N12" s="133">
        <f t="shared" si="2"/>
        <v>0</v>
      </c>
      <c r="O12" s="133">
        <f t="shared" si="3"/>
        <v>0</v>
      </c>
      <c r="P12" s="133">
        <f t="shared" si="11"/>
        <v>0</v>
      </c>
      <c r="Q12" s="133">
        <f t="shared" si="4"/>
        <v>0</v>
      </c>
      <c r="R12" s="133">
        <f t="shared" si="5"/>
        <v>0</v>
      </c>
      <c r="S12" s="133">
        <f t="shared" si="6"/>
        <v>0</v>
      </c>
      <c r="T12" s="133">
        <f t="shared" si="7"/>
        <v>0</v>
      </c>
      <c r="U12" s="133">
        <f t="shared" si="8"/>
        <v>0</v>
      </c>
      <c r="V12" s="121">
        <f t="shared" si="9"/>
        <v>0</v>
      </c>
      <c r="W12" s="121">
        <f t="shared" si="10"/>
        <v>0</v>
      </c>
      <c r="X12" s="121">
        <f t="shared" si="12"/>
        <v>0</v>
      </c>
      <c r="Y12" s="121">
        <f t="shared" si="12"/>
        <v>0</v>
      </c>
    </row>
    <row r="13" spans="1:26" s="2" customFormat="1" ht="54.95" customHeight="1">
      <c r="A13" s="209">
        <v>10</v>
      </c>
      <c r="B13" s="250" t="s">
        <v>247</v>
      </c>
      <c r="C13" s="211">
        <v>8.0000000000000002E-3</v>
      </c>
      <c r="D13" s="212">
        <v>0</v>
      </c>
      <c r="E13" s="212">
        <v>0</v>
      </c>
      <c r="F13" s="212">
        <v>0</v>
      </c>
      <c r="G13" s="212">
        <v>1</v>
      </c>
      <c r="H13" s="212">
        <v>1</v>
      </c>
      <c r="I13" s="212">
        <v>4</v>
      </c>
      <c r="J13" s="213">
        <v>0</v>
      </c>
      <c r="K13" s="213">
        <v>0</v>
      </c>
      <c r="L13" s="213">
        <f t="shared" si="0"/>
        <v>0</v>
      </c>
      <c r="M13" s="214">
        <f t="shared" si="1"/>
        <v>0</v>
      </c>
      <c r="N13" s="133">
        <f t="shared" si="2"/>
        <v>0</v>
      </c>
      <c r="O13" s="133">
        <f t="shared" si="3"/>
        <v>0</v>
      </c>
      <c r="P13" s="133">
        <f t="shared" si="11"/>
        <v>0</v>
      </c>
      <c r="Q13" s="133">
        <f t="shared" si="4"/>
        <v>0</v>
      </c>
      <c r="R13" s="133">
        <f t="shared" si="5"/>
        <v>0</v>
      </c>
      <c r="S13" s="133">
        <f t="shared" si="6"/>
        <v>0</v>
      </c>
      <c r="T13" s="133">
        <f t="shared" si="7"/>
        <v>0</v>
      </c>
      <c r="U13" s="133">
        <f t="shared" si="8"/>
        <v>0</v>
      </c>
      <c r="V13" s="121">
        <f t="shared" si="9"/>
        <v>0</v>
      </c>
      <c r="W13" s="121">
        <f t="shared" si="10"/>
        <v>0</v>
      </c>
      <c r="X13" s="121">
        <f t="shared" si="12"/>
        <v>0</v>
      </c>
      <c r="Y13" s="121">
        <f t="shared" si="12"/>
        <v>0</v>
      </c>
    </row>
    <row r="14" spans="1:26" s="2" customFormat="1" ht="54.95" customHeight="1">
      <c r="A14" s="209">
        <v>11</v>
      </c>
      <c r="B14" s="250" t="s">
        <v>1353</v>
      </c>
      <c r="C14" s="211">
        <v>2</v>
      </c>
      <c r="D14" s="212">
        <v>0</v>
      </c>
      <c r="E14" s="212">
        <v>1</v>
      </c>
      <c r="F14" s="212">
        <v>0</v>
      </c>
      <c r="G14" s="212">
        <v>0</v>
      </c>
      <c r="H14" s="212">
        <v>1</v>
      </c>
      <c r="I14" s="212">
        <v>2</v>
      </c>
      <c r="J14" s="213">
        <v>0</v>
      </c>
      <c r="K14" s="213">
        <v>0</v>
      </c>
      <c r="L14" s="213">
        <f t="shared" si="0"/>
        <v>0</v>
      </c>
      <c r="M14" s="214">
        <f t="shared" si="1"/>
        <v>0</v>
      </c>
      <c r="N14" s="133">
        <f t="shared" si="2"/>
        <v>0</v>
      </c>
      <c r="O14" s="133">
        <f t="shared" si="3"/>
        <v>0</v>
      </c>
      <c r="P14" s="133">
        <f t="shared" si="11"/>
        <v>0</v>
      </c>
      <c r="Q14" s="133">
        <f t="shared" si="4"/>
        <v>0</v>
      </c>
      <c r="R14" s="133">
        <f t="shared" si="5"/>
        <v>0</v>
      </c>
      <c r="S14" s="133">
        <f t="shared" si="6"/>
        <v>0</v>
      </c>
      <c r="T14" s="133">
        <f t="shared" si="7"/>
        <v>0</v>
      </c>
      <c r="U14" s="133">
        <f t="shared" si="8"/>
        <v>0</v>
      </c>
      <c r="V14" s="121">
        <f t="shared" si="9"/>
        <v>0</v>
      </c>
      <c r="W14" s="121">
        <f t="shared" si="10"/>
        <v>0</v>
      </c>
      <c r="X14" s="121">
        <f t="shared" si="12"/>
        <v>0</v>
      </c>
      <c r="Y14" s="121">
        <f t="shared" si="12"/>
        <v>0</v>
      </c>
    </row>
    <row r="15" spans="1:26" ht="54.95" customHeight="1">
      <c r="A15" s="377" t="s">
        <v>158</v>
      </c>
      <c r="B15" s="377"/>
      <c r="C15" s="378" t="s">
        <v>257</v>
      </c>
      <c r="D15" s="378"/>
      <c r="E15" s="378"/>
      <c r="F15" s="378"/>
      <c r="G15" s="378"/>
      <c r="H15" s="378"/>
      <c r="I15" s="378"/>
      <c r="J15" s="378"/>
      <c r="K15" s="378"/>
      <c r="L15" s="239">
        <f>SUM(L4:L14)</f>
        <v>0</v>
      </c>
      <c r="M15" s="239">
        <f>SUM(M4:M14)</f>
        <v>0</v>
      </c>
      <c r="N15" s="134">
        <f>SUM(N4:N14)</f>
        <v>0</v>
      </c>
      <c r="O15" s="134">
        <f t="shared" ref="O15:Y15" si="13">SUM(O4:O14)</f>
        <v>0</v>
      </c>
      <c r="P15" s="134">
        <f t="shared" si="13"/>
        <v>0</v>
      </c>
      <c r="Q15" s="134">
        <f t="shared" si="13"/>
        <v>0</v>
      </c>
      <c r="R15" s="134">
        <f t="shared" si="13"/>
        <v>0</v>
      </c>
      <c r="S15" s="134">
        <f t="shared" si="13"/>
        <v>0</v>
      </c>
      <c r="T15" s="134">
        <f t="shared" si="13"/>
        <v>0</v>
      </c>
      <c r="U15" s="134">
        <f t="shared" si="13"/>
        <v>0</v>
      </c>
      <c r="V15" s="134">
        <f t="shared" si="13"/>
        <v>0</v>
      </c>
      <c r="W15" s="134">
        <f t="shared" si="13"/>
        <v>0</v>
      </c>
      <c r="X15" s="134">
        <f t="shared" si="13"/>
        <v>0</v>
      </c>
      <c r="Y15" s="134">
        <f t="shared" si="13"/>
        <v>0</v>
      </c>
      <c r="Z15" s="2"/>
    </row>
    <row r="16" spans="1:26" ht="54.95" customHeight="1">
      <c r="A16" s="379" t="s">
        <v>160</v>
      </c>
      <c r="B16" s="379"/>
      <c r="C16" s="379"/>
      <c r="D16" s="379"/>
      <c r="E16" s="379"/>
      <c r="F16" s="379"/>
      <c r="G16" s="379"/>
      <c r="H16" s="379"/>
      <c r="I16" s="379"/>
      <c r="J16" s="379"/>
      <c r="K16" s="379"/>
      <c r="L16" s="379"/>
      <c r="M16" s="216">
        <v>2</v>
      </c>
      <c r="Z16" s="124"/>
    </row>
    <row r="17" spans="1:27" s="124" customFormat="1" ht="54.95" customHeight="1">
      <c r="A17" s="3"/>
      <c r="B17" s="3"/>
      <c r="C17" s="125"/>
      <c r="D17" s="126"/>
      <c r="E17" s="126"/>
      <c r="F17" s="126"/>
      <c r="G17" s="126"/>
      <c r="H17" s="126"/>
      <c r="I17" s="126"/>
      <c r="J17" s="3"/>
      <c r="K17" s="3"/>
      <c r="L17" s="3"/>
      <c r="M17" s="2"/>
      <c r="X17" s="121"/>
      <c r="Y17" s="121"/>
      <c r="Z17" s="121"/>
      <c r="AA17" s="2"/>
    </row>
    <row r="18" spans="1:27" s="124" customFormat="1" ht="54.95" customHeight="1">
      <c r="A18" s="3"/>
      <c r="B18" s="3"/>
      <c r="C18" s="125"/>
      <c r="D18" s="126"/>
      <c r="E18" s="126"/>
      <c r="F18" s="126"/>
      <c r="G18" s="126"/>
      <c r="H18" s="126"/>
      <c r="I18" s="126"/>
      <c r="J18" s="3"/>
      <c r="K18" s="3"/>
      <c r="L18" s="3"/>
      <c r="M18" s="2"/>
      <c r="X18" s="121"/>
      <c r="Y18" s="121"/>
      <c r="Z18" s="121"/>
      <c r="AA18" s="2"/>
    </row>
    <row r="19" spans="1:27" s="124" customFormat="1" ht="54.95" customHeight="1">
      <c r="A19" s="3"/>
      <c r="B19" s="3"/>
      <c r="C19" s="125"/>
      <c r="D19" s="126"/>
      <c r="E19" s="126"/>
      <c r="F19" s="126"/>
      <c r="G19" s="126"/>
      <c r="H19" s="126"/>
      <c r="I19" s="126"/>
      <c r="J19" s="3"/>
      <c r="K19" s="3"/>
      <c r="L19" s="3"/>
      <c r="M19" s="2"/>
      <c r="X19" s="121"/>
      <c r="Y19" s="121"/>
      <c r="Z19" s="121"/>
      <c r="AA19" s="2"/>
    </row>
    <row r="20" spans="1:27" s="124" customFormat="1" ht="54.95" customHeight="1">
      <c r="A20" s="3"/>
      <c r="B20" s="3"/>
      <c r="C20" s="125"/>
      <c r="D20" s="126"/>
      <c r="E20" s="126"/>
      <c r="F20" s="126"/>
      <c r="G20" s="126"/>
      <c r="H20" s="126"/>
      <c r="I20" s="126"/>
      <c r="J20" s="3"/>
      <c r="K20" s="3"/>
      <c r="L20" s="3"/>
      <c r="M20" s="2"/>
      <c r="X20" s="121"/>
      <c r="Y20" s="121"/>
      <c r="Z20" s="121"/>
      <c r="AA20" s="2"/>
    </row>
    <row r="21" spans="1:27" s="124" customFormat="1" ht="54.95" customHeight="1">
      <c r="A21" s="3"/>
      <c r="B21" s="3"/>
      <c r="C21" s="125"/>
      <c r="D21" s="126"/>
      <c r="E21" s="126"/>
      <c r="F21" s="126"/>
      <c r="G21" s="126"/>
      <c r="H21" s="126"/>
      <c r="I21" s="126"/>
      <c r="J21" s="3"/>
      <c r="K21" s="3"/>
      <c r="L21" s="3"/>
      <c r="M21" s="2"/>
      <c r="X21" s="121"/>
      <c r="Y21" s="121"/>
      <c r="Z21" s="121"/>
      <c r="AA21" s="2"/>
    </row>
    <row r="22" spans="1:27" s="121" customFormat="1" ht="54.95" customHeight="1">
      <c r="A22" s="3"/>
      <c r="B22" s="3"/>
      <c r="C22" s="125"/>
      <c r="D22" s="126"/>
      <c r="E22" s="126"/>
      <c r="F22" s="126"/>
      <c r="G22" s="126"/>
      <c r="H22" s="126"/>
      <c r="I22" s="126"/>
      <c r="J22" s="3"/>
      <c r="K22" s="3"/>
      <c r="L22" s="3"/>
      <c r="M22" s="2"/>
      <c r="N22" s="124"/>
      <c r="O22" s="124"/>
      <c r="P22" s="124"/>
      <c r="Q22" s="124"/>
      <c r="R22" s="124"/>
      <c r="S22" s="124"/>
      <c r="T22" s="124"/>
      <c r="U22" s="124"/>
      <c r="V22" s="124"/>
      <c r="W22" s="124"/>
      <c r="AA22" s="2"/>
    </row>
    <row r="23" spans="1:27" s="121" customFormat="1" ht="54.95" customHeight="1">
      <c r="A23" s="3"/>
      <c r="B23" s="3"/>
      <c r="C23" s="125"/>
      <c r="D23" s="126"/>
      <c r="E23" s="126"/>
      <c r="F23" s="126"/>
      <c r="G23" s="126"/>
      <c r="H23" s="126"/>
      <c r="I23" s="126"/>
      <c r="J23" s="3"/>
      <c r="K23" s="3"/>
      <c r="L23" s="3"/>
      <c r="M23" s="2"/>
      <c r="N23" s="124"/>
      <c r="O23" s="124"/>
      <c r="P23" s="124"/>
      <c r="Q23" s="124"/>
      <c r="R23" s="124"/>
      <c r="S23" s="124"/>
      <c r="T23" s="124"/>
      <c r="U23" s="124"/>
      <c r="V23" s="124"/>
      <c r="W23" s="124"/>
      <c r="AA23" s="2"/>
    </row>
    <row r="24" spans="1:27" s="121" customFormat="1" ht="54.95" customHeight="1">
      <c r="A24" s="3"/>
      <c r="B24" s="3"/>
      <c r="C24" s="125"/>
      <c r="D24" s="126"/>
      <c r="E24" s="126"/>
      <c r="F24" s="126"/>
      <c r="G24" s="126"/>
      <c r="H24" s="126"/>
      <c r="I24" s="126"/>
      <c r="J24" s="3"/>
      <c r="K24" s="3"/>
      <c r="L24" s="3"/>
      <c r="M24" s="2"/>
      <c r="N24" s="124"/>
      <c r="O24" s="124"/>
      <c r="P24" s="124"/>
      <c r="Q24" s="124"/>
      <c r="R24" s="124"/>
      <c r="S24" s="124"/>
      <c r="T24" s="124"/>
      <c r="U24" s="124"/>
      <c r="V24" s="124"/>
      <c r="W24" s="124"/>
      <c r="AA24" s="2"/>
    </row>
    <row r="25" spans="1:27" s="121" customFormat="1" ht="54.95" customHeight="1">
      <c r="A25" s="3"/>
      <c r="B25" s="3"/>
      <c r="C25" s="125"/>
      <c r="D25" s="126"/>
      <c r="E25" s="126"/>
      <c r="F25" s="126"/>
      <c r="G25" s="126"/>
      <c r="H25" s="126"/>
      <c r="I25" s="126"/>
      <c r="J25" s="3"/>
      <c r="K25" s="3"/>
      <c r="L25" s="3"/>
      <c r="M25" s="2"/>
      <c r="N25" s="124"/>
      <c r="O25" s="124"/>
      <c r="P25" s="124"/>
      <c r="Q25" s="124"/>
      <c r="R25" s="124"/>
      <c r="S25" s="124"/>
      <c r="T25" s="124"/>
      <c r="U25" s="124"/>
      <c r="V25" s="124"/>
      <c r="W25" s="124"/>
      <c r="AA25" s="2"/>
    </row>
    <row r="26" spans="1:27" s="121" customFormat="1" ht="54.95" customHeight="1">
      <c r="A26" s="3"/>
      <c r="B26" s="3"/>
      <c r="C26" s="125"/>
      <c r="D26" s="126"/>
      <c r="E26" s="126"/>
      <c r="F26" s="126"/>
      <c r="G26" s="126"/>
      <c r="H26" s="126"/>
      <c r="I26" s="126"/>
      <c r="J26" s="3"/>
      <c r="K26" s="3"/>
      <c r="L26" s="3"/>
      <c r="M26" s="2"/>
      <c r="N26" s="124"/>
      <c r="O26" s="124"/>
      <c r="P26" s="124"/>
      <c r="Q26" s="124"/>
      <c r="R26" s="124"/>
      <c r="S26" s="124"/>
      <c r="T26" s="124"/>
      <c r="U26" s="124"/>
      <c r="V26" s="124"/>
      <c r="W26" s="124"/>
      <c r="AA26" s="2"/>
    </row>
    <row r="27" spans="1:27" s="121" customFormat="1" ht="54.95" customHeight="1">
      <c r="A27" s="3"/>
      <c r="B27" s="3"/>
      <c r="C27" s="125"/>
      <c r="D27" s="126"/>
      <c r="E27" s="126"/>
      <c r="F27" s="126"/>
      <c r="G27" s="126"/>
      <c r="H27" s="126"/>
      <c r="I27" s="126"/>
      <c r="J27" s="3"/>
      <c r="K27" s="3"/>
      <c r="L27" s="3"/>
      <c r="M27" s="2"/>
      <c r="N27" s="124"/>
      <c r="O27" s="124"/>
      <c r="P27" s="124"/>
      <c r="Q27" s="124"/>
      <c r="R27" s="124"/>
      <c r="S27" s="124"/>
      <c r="T27" s="124"/>
      <c r="U27" s="124"/>
      <c r="V27" s="124"/>
      <c r="W27" s="124"/>
      <c r="AA27" s="2"/>
    </row>
    <row r="28" spans="1:27" s="121" customFormat="1" ht="54.95" customHeight="1">
      <c r="A28" s="3"/>
      <c r="B28" s="3"/>
      <c r="C28" s="125"/>
      <c r="D28" s="126"/>
      <c r="E28" s="126"/>
      <c r="F28" s="126"/>
      <c r="G28" s="126"/>
      <c r="H28" s="126"/>
      <c r="I28" s="126"/>
      <c r="J28" s="3"/>
      <c r="K28" s="3"/>
      <c r="L28" s="3"/>
      <c r="M28" s="2"/>
      <c r="N28" s="124"/>
      <c r="O28" s="124"/>
      <c r="P28" s="124"/>
      <c r="Q28" s="124"/>
      <c r="R28" s="124"/>
      <c r="S28" s="124"/>
      <c r="T28" s="124"/>
      <c r="U28" s="124"/>
      <c r="V28" s="124"/>
      <c r="W28" s="124"/>
      <c r="AA28" s="2"/>
    </row>
    <row r="29" spans="1:27" s="121" customFormat="1" ht="54.95" customHeight="1">
      <c r="A29" s="3"/>
      <c r="B29" s="3"/>
      <c r="C29" s="125"/>
      <c r="D29" s="126"/>
      <c r="E29" s="126"/>
      <c r="F29" s="126"/>
      <c r="G29" s="126"/>
      <c r="H29" s="126"/>
      <c r="I29" s="126"/>
      <c r="J29" s="3"/>
      <c r="K29" s="3"/>
      <c r="L29" s="3"/>
      <c r="M29" s="2"/>
      <c r="N29" s="124"/>
      <c r="O29" s="124"/>
      <c r="P29" s="124"/>
      <c r="Q29" s="124"/>
      <c r="R29" s="124"/>
      <c r="S29" s="124"/>
      <c r="T29" s="124"/>
      <c r="U29" s="124"/>
      <c r="V29" s="124"/>
      <c r="W29" s="124"/>
      <c r="AA29" s="2"/>
    </row>
    <row r="30" spans="1:27" s="121" customFormat="1" ht="54.95" customHeight="1">
      <c r="A30" s="3"/>
      <c r="B30" s="3"/>
      <c r="C30" s="125"/>
      <c r="D30" s="126"/>
      <c r="E30" s="126"/>
      <c r="F30" s="126"/>
      <c r="G30" s="126"/>
      <c r="H30" s="126"/>
      <c r="I30" s="126"/>
      <c r="J30" s="3"/>
      <c r="K30" s="3"/>
      <c r="L30" s="3"/>
      <c r="M30" s="2"/>
      <c r="N30" s="124"/>
      <c r="O30" s="124"/>
      <c r="P30" s="124"/>
      <c r="Q30" s="124"/>
      <c r="R30" s="124"/>
      <c r="S30" s="124"/>
      <c r="T30" s="124"/>
      <c r="U30" s="124"/>
      <c r="V30" s="124"/>
      <c r="W30" s="124"/>
      <c r="AA30" s="2"/>
    </row>
    <row r="31" spans="1:27" s="121" customFormat="1" ht="54.95" customHeight="1">
      <c r="A31" s="3"/>
      <c r="B31" s="3"/>
      <c r="C31" s="125"/>
      <c r="D31" s="126"/>
      <c r="E31" s="126"/>
      <c r="F31" s="126"/>
      <c r="G31" s="126"/>
      <c r="H31" s="126"/>
      <c r="I31" s="126"/>
      <c r="J31" s="3"/>
      <c r="K31" s="3"/>
      <c r="L31" s="3"/>
      <c r="M31" s="2"/>
      <c r="N31" s="124"/>
      <c r="O31" s="124"/>
      <c r="P31" s="124"/>
      <c r="Q31" s="124"/>
      <c r="R31" s="124"/>
      <c r="S31" s="124"/>
      <c r="T31" s="124"/>
      <c r="U31" s="124"/>
      <c r="V31" s="124"/>
      <c r="W31" s="124"/>
      <c r="AA31" s="2"/>
    </row>
    <row r="32" spans="1:27" s="121" customFormat="1" ht="54.95" customHeight="1">
      <c r="A32" s="3"/>
      <c r="B32" s="3"/>
      <c r="C32" s="125"/>
      <c r="D32" s="126"/>
      <c r="E32" s="126"/>
      <c r="F32" s="126"/>
      <c r="G32" s="126"/>
      <c r="H32" s="126"/>
      <c r="I32" s="126"/>
      <c r="J32" s="3"/>
      <c r="K32" s="3"/>
      <c r="L32" s="3"/>
      <c r="M32" s="2"/>
      <c r="N32" s="124"/>
      <c r="O32" s="124"/>
      <c r="P32" s="124"/>
      <c r="Q32" s="124"/>
      <c r="R32" s="124"/>
      <c r="S32" s="124"/>
      <c r="T32" s="124"/>
      <c r="U32" s="124"/>
      <c r="V32" s="124"/>
      <c r="W32" s="124"/>
      <c r="X32" s="134"/>
      <c r="Y32" s="134"/>
      <c r="AA32" s="2"/>
    </row>
    <row r="33" spans="1:27" s="121" customFormat="1" ht="54.95" customHeight="1">
      <c r="A33" s="3"/>
      <c r="B33" s="3"/>
      <c r="C33" s="125"/>
      <c r="D33" s="126"/>
      <c r="E33" s="126"/>
      <c r="F33" s="126"/>
      <c r="G33" s="126"/>
      <c r="H33" s="126"/>
      <c r="I33" s="126"/>
      <c r="J33" s="3"/>
      <c r="K33" s="3"/>
      <c r="L33" s="3"/>
      <c r="M33" s="2"/>
      <c r="N33" s="124"/>
      <c r="O33" s="124"/>
      <c r="P33" s="124"/>
      <c r="Q33" s="124"/>
      <c r="R33" s="124"/>
      <c r="S33" s="124"/>
      <c r="T33" s="124"/>
      <c r="U33" s="124"/>
      <c r="V33" s="124"/>
      <c r="W33" s="124"/>
      <c r="X33" s="124"/>
      <c r="Y33" s="124"/>
      <c r="AA33" s="2"/>
    </row>
    <row r="34" spans="1:27" s="121" customFormat="1" ht="54.95" customHeight="1">
      <c r="A34" s="3"/>
      <c r="B34" s="3"/>
      <c r="C34" s="125"/>
      <c r="D34" s="126"/>
      <c r="E34" s="126"/>
      <c r="F34" s="126"/>
      <c r="G34" s="126"/>
      <c r="H34" s="126"/>
      <c r="I34" s="126"/>
      <c r="J34" s="3"/>
      <c r="K34" s="3"/>
      <c r="L34" s="3"/>
      <c r="M34" s="2"/>
      <c r="N34" s="124"/>
      <c r="O34" s="124"/>
      <c r="P34" s="124"/>
      <c r="Q34" s="124"/>
      <c r="R34" s="124"/>
      <c r="S34" s="124"/>
      <c r="T34" s="124"/>
      <c r="U34" s="124"/>
      <c r="V34" s="124"/>
      <c r="W34" s="124"/>
      <c r="AA34" s="2"/>
    </row>
    <row r="35" spans="1:27" s="121" customFormat="1" ht="54.95" customHeight="1">
      <c r="A35" s="3"/>
      <c r="B35" s="3"/>
      <c r="C35" s="125"/>
      <c r="D35" s="126"/>
      <c r="E35" s="126"/>
      <c r="F35" s="126"/>
      <c r="G35" s="126"/>
      <c r="H35" s="126"/>
      <c r="I35" s="126"/>
      <c r="J35" s="3"/>
      <c r="K35" s="3"/>
      <c r="L35" s="3"/>
      <c r="M35" s="2"/>
      <c r="N35" s="124"/>
      <c r="O35" s="124"/>
      <c r="P35" s="124"/>
      <c r="Q35" s="124"/>
      <c r="R35" s="124"/>
      <c r="S35" s="124"/>
      <c r="T35" s="124"/>
      <c r="U35" s="124"/>
      <c r="V35" s="124"/>
      <c r="W35" s="124"/>
      <c r="AA35" s="2"/>
    </row>
    <row r="36" spans="1:27" s="121" customFormat="1" ht="54.95" customHeight="1">
      <c r="A36" s="3"/>
      <c r="B36" s="3"/>
      <c r="C36" s="125"/>
      <c r="D36" s="126"/>
      <c r="E36" s="126"/>
      <c r="F36" s="126"/>
      <c r="G36" s="126"/>
      <c r="H36" s="126"/>
      <c r="I36" s="126"/>
      <c r="J36" s="3"/>
      <c r="K36" s="3"/>
      <c r="L36" s="3"/>
      <c r="M36" s="2"/>
      <c r="N36" s="124"/>
      <c r="O36" s="124"/>
      <c r="P36" s="124"/>
      <c r="Q36" s="124"/>
      <c r="R36" s="124"/>
      <c r="S36" s="124"/>
      <c r="T36" s="124"/>
      <c r="U36" s="124"/>
      <c r="V36" s="124"/>
      <c r="W36" s="124"/>
      <c r="AA36" s="2"/>
    </row>
    <row r="37" spans="1:27" s="121" customFormat="1" ht="54.95" customHeight="1">
      <c r="A37" s="3"/>
      <c r="B37" s="3"/>
      <c r="C37" s="125"/>
      <c r="D37" s="126"/>
      <c r="E37" s="126"/>
      <c r="F37" s="126"/>
      <c r="G37" s="126"/>
      <c r="H37" s="126"/>
      <c r="I37" s="126"/>
      <c r="J37" s="3"/>
      <c r="K37" s="3"/>
      <c r="L37" s="3"/>
      <c r="M37" s="2"/>
      <c r="N37" s="124"/>
      <c r="O37" s="124"/>
      <c r="P37" s="124"/>
      <c r="Q37" s="124"/>
      <c r="R37" s="124"/>
      <c r="S37" s="124"/>
      <c r="T37" s="124"/>
      <c r="U37" s="124"/>
      <c r="V37" s="124"/>
      <c r="W37" s="124"/>
      <c r="AA37" s="2"/>
    </row>
    <row r="38" spans="1:27" ht="54.95" customHeight="1"/>
    <row r="39" spans="1:27" ht="54.95" customHeight="1"/>
    <row r="40" spans="1:27" ht="54.95" customHeight="1"/>
    <row r="41" spans="1:27" ht="54.95" customHeight="1"/>
    <row r="42" spans="1:27" ht="54.95" customHeight="1"/>
    <row r="43" spans="1:27" ht="54.95" customHeight="1"/>
    <row r="44" spans="1:27" ht="54.95" customHeight="1"/>
    <row r="45" spans="1:27" ht="54.95" customHeight="1"/>
    <row r="46" spans="1:27" ht="54.95" customHeight="1"/>
    <row r="47" spans="1:27" ht="54.95" customHeight="1"/>
    <row r="48" spans="1:27" ht="54.95" customHeight="1"/>
    <row r="49" ht="54.95" customHeight="1"/>
    <row r="50" ht="54.95" customHeight="1"/>
    <row r="51" ht="54.95" customHeight="1"/>
    <row r="52" ht="54.95" customHeight="1"/>
    <row r="53" ht="54.95" customHeight="1"/>
    <row r="54" ht="54.95" customHeight="1"/>
    <row r="55" ht="54.95" customHeight="1"/>
    <row r="56" ht="54.95" customHeight="1"/>
    <row r="57" ht="54.95" customHeight="1"/>
    <row r="58" ht="54.95" customHeight="1"/>
    <row r="59" ht="54.95" customHeight="1"/>
    <row r="60" ht="54.95" customHeight="1"/>
    <row r="61" ht="54.95" customHeight="1"/>
    <row r="62" ht="54.95" customHeight="1"/>
    <row r="63" ht="54.95" customHeight="1"/>
    <row r="64" ht="54.95" customHeight="1"/>
    <row r="65" ht="54.95" customHeight="1"/>
    <row r="66" ht="54.95" customHeight="1"/>
    <row r="67" ht="54.95" customHeight="1"/>
    <row r="68" ht="54.95" customHeight="1"/>
    <row r="69" ht="54.95" customHeight="1"/>
    <row r="70" ht="54.95" customHeight="1"/>
    <row r="71" ht="54.95" customHeight="1"/>
    <row r="72" ht="54.95" customHeight="1"/>
    <row r="73" ht="54.95" customHeight="1"/>
    <row r="74" ht="54.95" customHeight="1"/>
    <row r="75" ht="54.95" customHeight="1"/>
    <row r="76" ht="54.95" customHeight="1"/>
    <row r="77" ht="54.95" customHeight="1"/>
    <row r="78" ht="54.95" customHeight="1"/>
    <row r="79" ht="54.95" customHeight="1"/>
    <row r="80" ht="54.95" customHeight="1"/>
    <row r="81" ht="54.95" customHeight="1"/>
    <row r="82" ht="54.95" customHeight="1"/>
    <row r="83" ht="54.95" customHeight="1"/>
    <row r="84" ht="54.95" customHeight="1"/>
    <row r="85" ht="54.95" customHeight="1"/>
    <row r="86" ht="54.95" customHeight="1"/>
    <row r="87" ht="54.95" customHeight="1"/>
    <row r="88" ht="54.95" customHeight="1"/>
    <row r="89" ht="54.95" customHeight="1"/>
    <row r="90" ht="54.95" customHeight="1"/>
    <row r="91" ht="54.95" customHeight="1"/>
    <row r="92" ht="54.95" customHeight="1"/>
    <row r="93" ht="54.95" customHeight="1"/>
    <row r="94" ht="54.95" customHeight="1"/>
    <row r="95" ht="54.95" customHeight="1"/>
    <row r="96" ht="54.95" customHeight="1"/>
    <row r="97" ht="54.95" customHeight="1"/>
    <row r="98" ht="54.95" customHeight="1"/>
    <row r="99" ht="54.95" customHeight="1"/>
    <row r="100" ht="54.95" customHeight="1"/>
    <row r="101" ht="54.95" customHeight="1"/>
    <row r="102" ht="54.95" customHeight="1"/>
    <row r="103" ht="54.95" customHeight="1"/>
    <row r="104" ht="54.95" customHeight="1"/>
    <row r="105" ht="54.95" customHeight="1"/>
    <row r="106" ht="54.95" customHeight="1"/>
    <row r="107" ht="54.95" customHeight="1"/>
    <row r="108" ht="54.95" customHeight="1"/>
    <row r="109" ht="54.95" customHeight="1"/>
    <row r="110" ht="54.95" customHeight="1"/>
    <row r="111" ht="54.95" customHeight="1"/>
    <row r="112" ht="54.95" customHeight="1"/>
    <row r="113" ht="54.95" customHeight="1"/>
    <row r="114" ht="54.95" customHeight="1"/>
    <row r="115" ht="54.95" customHeight="1"/>
    <row r="116" ht="54.95" customHeight="1"/>
    <row r="117" ht="54.95" customHeight="1"/>
    <row r="118" ht="54.95" customHeight="1"/>
    <row r="119" ht="54.95" customHeight="1"/>
    <row r="120" ht="54.95" customHeight="1"/>
    <row r="121" ht="54.95" customHeight="1"/>
    <row r="122" ht="54.95" customHeight="1"/>
    <row r="123" ht="54.95" customHeight="1"/>
    <row r="124" ht="54.95" customHeight="1"/>
    <row r="125" ht="54.95" customHeight="1"/>
    <row r="126" ht="54.95" customHeight="1"/>
    <row r="127" ht="54.95" customHeight="1"/>
    <row r="128" ht="54.95" customHeight="1"/>
    <row r="129" ht="54.95" customHeight="1"/>
    <row r="130" ht="54.95" customHeight="1"/>
    <row r="131" ht="54.95" customHeight="1"/>
    <row r="132" ht="54.95" customHeight="1"/>
    <row r="133" ht="54.95" customHeight="1"/>
    <row r="134" ht="54.95" customHeight="1"/>
    <row r="135" ht="54.95" customHeight="1"/>
    <row r="136" ht="54.95" customHeight="1"/>
    <row r="137" ht="54.95" customHeight="1"/>
    <row r="138" ht="54.95" customHeight="1"/>
    <row r="139" ht="54.95" customHeight="1"/>
    <row r="140" ht="54.95" customHeight="1"/>
    <row r="141" ht="54.95" customHeight="1"/>
    <row r="142" ht="54.95" customHeight="1"/>
    <row r="143" ht="54.95" customHeight="1"/>
    <row r="144" ht="54.95" customHeight="1"/>
    <row r="145" ht="54.95" customHeight="1"/>
    <row r="146" ht="54.95" customHeight="1"/>
    <row r="147" ht="54.95" customHeight="1"/>
    <row r="148" ht="54.95" customHeight="1"/>
    <row r="149" ht="54.95" customHeight="1"/>
    <row r="150" ht="54.95" customHeight="1"/>
    <row r="151" ht="54.95" customHeight="1"/>
    <row r="152" ht="54.95" customHeight="1"/>
    <row r="153" ht="54.95" customHeight="1"/>
    <row r="154" ht="54.95" customHeight="1"/>
    <row r="155" ht="54.95" customHeight="1"/>
    <row r="156" ht="54.95" customHeight="1"/>
    <row r="157" ht="54.95" customHeight="1"/>
    <row r="158" ht="54.95" customHeight="1"/>
    <row r="159" ht="54.95" customHeight="1"/>
    <row r="160" ht="54.95" customHeight="1"/>
    <row r="161" ht="54.95" customHeight="1"/>
    <row r="162" ht="54.95" customHeight="1"/>
    <row r="163" ht="54.95" customHeight="1"/>
    <row r="164" ht="54.95" customHeight="1"/>
    <row r="165" ht="54.95" customHeight="1"/>
    <row r="166" ht="54.95" customHeight="1"/>
    <row r="167" ht="54.95" customHeight="1"/>
    <row r="168" ht="54.95" customHeight="1"/>
    <row r="169" ht="54.95" customHeight="1"/>
    <row r="170" ht="54.95" customHeight="1"/>
    <row r="171" ht="54.95" customHeight="1"/>
    <row r="172" ht="54.95" customHeight="1"/>
    <row r="173" ht="54.95" customHeight="1"/>
    <row r="174" ht="54.95" customHeight="1"/>
    <row r="175" ht="54.95" customHeight="1"/>
    <row r="176" ht="54.95" customHeight="1"/>
    <row r="177" spans="1:26" ht="54.95" customHeight="1"/>
    <row r="178" spans="1:26" ht="54.95" customHeight="1"/>
    <row r="179" spans="1:26" ht="54.95" customHeight="1"/>
    <row r="180" spans="1:26" ht="54.95" customHeight="1"/>
    <row r="181" spans="1:26" ht="54.95" customHeight="1"/>
    <row r="182" spans="1:26" s="2" customFormat="1" ht="54.95" customHeight="1">
      <c r="A182" s="3"/>
      <c r="B182" s="3"/>
      <c r="C182" s="125"/>
      <c r="D182" s="126"/>
      <c r="E182" s="126"/>
      <c r="F182" s="126"/>
      <c r="G182" s="126"/>
      <c r="H182" s="126"/>
      <c r="I182" s="126"/>
      <c r="J182" s="3"/>
      <c r="K182" s="3"/>
      <c r="L182" s="3"/>
      <c r="N182" s="124"/>
      <c r="O182" s="124"/>
      <c r="P182" s="124"/>
      <c r="Q182" s="124"/>
      <c r="R182" s="124"/>
      <c r="S182" s="124"/>
      <c r="T182" s="124"/>
      <c r="U182" s="124"/>
      <c r="V182" s="124"/>
      <c r="W182" s="124"/>
      <c r="X182" s="121"/>
      <c r="Y182" s="121"/>
      <c r="Z182" s="121"/>
    </row>
    <row r="183" spans="1:26" s="2" customFormat="1" ht="54.95" customHeight="1">
      <c r="A183" s="3"/>
      <c r="B183" s="3"/>
      <c r="C183" s="125"/>
      <c r="D183" s="126"/>
      <c r="E183" s="126"/>
      <c r="F183" s="126"/>
      <c r="G183" s="126"/>
      <c r="H183" s="126"/>
      <c r="I183" s="126"/>
      <c r="J183" s="3"/>
      <c r="K183" s="3"/>
      <c r="L183" s="3"/>
      <c r="N183" s="124"/>
      <c r="O183" s="124"/>
      <c r="P183" s="124"/>
      <c r="Q183" s="124"/>
      <c r="R183" s="124"/>
      <c r="S183" s="124"/>
      <c r="T183" s="124"/>
      <c r="U183" s="124"/>
      <c r="V183" s="124"/>
      <c r="W183" s="124"/>
      <c r="X183" s="121"/>
      <c r="Y183" s="121"/>
      <c r="Z183" s="121"/>
    </row>
    <row r="184" spans="1:26" s="2" customFormat="1" ht="54.95" customHeight="1">
      <c r="A184" s="3"/>
      <c r="B184" s="3"/>
      <c r="C184" s="125"/>
      <c r="D184" s="126"/>
      <c r="E184" s="126"/>
      <c r="F184" s="126"/>
      <c r="G184" s="126"/>
      <c r="H184" s="126"/>
      <c r="I184" s="126"/>
      <c r="J184" s="3"/>
      <c r="K184" s="3"/>
      <c r="L184" s="3"/>
      <c r="N184" s="124"/>
      <c r="O184" s="124"/>
      <c r="P184" s="124"/>
      <c r="Q184" s="124"/>
      <c r="R184" s="124"/>
      <c r="S184" s="124"/>
      <c r="T184" s="124"/>
      <c r="U184" s="124"/>
      <c r="V184" s="124"/>
      <c r="W184" s="124"/>
      <c r="X184" s="121"/>
      <c r="Y184" s="121"/>
      <c r="Z184" s="121"/>
    </row>
    <row r="185" spans="1:26" s="2" customFormat="1" ht="54.95" customHeight="1">
      <c r="A185" s="3"/>
      <c r="B185" s="3"/>
      <c r="C185" s="125"/>
      <c r="D185" s="126"/>
      <c r="E185" s="126"/>
      <c r="F185" s="126"/>
      <c r="G185" s="126"/>
      <c r="H185" s="126"/>
      <c r="I185" s="126"/>
      <c r="J185" s="3"/>
      <c r="K185" s="3"/>
      <c r="L185" s="3"/>
      <c r="N185" s="124"/>
      <c r="O185" s="124"/>
      <c r="P185" s="124"/>
      <c r="Q185" s="124"/>
      <c r="R185" s="124"/>
      <c r="S185" s="124"/>
      <c r="T185" s="124"/>
      <c r="U185" s="124"/>
      <c r="V185" s="124"/>
      <c r="W185" s="124"/>
      <c r="X185" s="121"/>
      <c r="Y185" s="121"/>
      <c r="Z185" s="121"/>
    </row>
    <row r="186" spans="1:26" s="2" customFormat="1" ht="54.95" customHeight="1">
      <c r="C186" s="135"/>
      <c r="D186" s="136"/>
      <c r="E186" s="136"/>
      <c r="F186" s="136"/>
      <c r="G186" s="136"/>
      <c r="H186" s="136"/>
      <c r="I186" s="136"/>
      <c r="N186" s="124"/>
      <c r="O186" s="124"/>
      <c r="P186" s="124"/>
      <c r="Q186" s="124"/>
      <c r="R186" s="124"/>
      <c r="S186" s="124"/>
      <c r="T186" s="124"/>
      <c r="U186" s="124"/>
      <c r="V186" s="124"/>
      <c r="W186" s="124"/>
      <c r="X186" s="121"/>
      <c r="Y186" s="121"/>
      <c r="Z186" s="121"/>
    </row>
    <row r="187" spans="1:26" s="2" customFormat="1" ht="54.95" customHeight="1">
      <c r="C187" s="135"/>
      <c r="D187" s="136"/>
      <c r="E187" s="136"/>
      <c r="F187" s="136"/>
      <c r="G187" s="136"/>
      <c r="H187" s="136"/>
      <c r="I187" s="136"/>
      <c r="N187" s="124"/>
      <c r="O187" s="124"/>
      <c r="P187" s="124"/>
      <c r="Q187" s="124"/>
      <c r="R187" s="124"/>
      <c r="S187" s="124"/>
      <c r="T187" s="124"/>
      <c r="U187" s="124"/>
      <c r="V187" s="124"/>
      <c r="W187" s="124"/>
      <c r="X187" s="121"/>
      <c r="Y187" s="121"/>
      <c r="Z187" s="121"/>
    </row>
    <row r="188" spans="1:26" s="2" customFormat="1" ht="54.95" customHeight="1">
      <c r="C188" s="135"/>
      <c r="D188" s="136"/>
      <c r="E188" s="136"/>
      <c r="F188" s="136"/>
      <c r="G188" s="136"/>
      <c r="H188" s="136"/>
      <c r="I188" s="136"/>
      <c r="N188" s="124"/>
      <c r="O188" s="124"/>
      <c r="P188" s="124"/>
      <c r="Q188" s="124"/>
      <c r="R188" s="124"/>
      <c r="S188" s="124"/>
      <c r="T188" s="124"/>
      <c r="U188" s="124"/>
      <c r="V188" s="124"/>
      <c r="W188" s="124"/>
      <c r="X188" s="121"/>
      <c r="Y188" s="121"/>
      <c r="Z188" s="121"/>
    </row>
    <row r="189" spans="1:26" s="15" customFormat="1" ht="54.95" hidden="1" customHeight="1">
      <c r="B189" s="15" t="str">
        <f>$A$15</f>
        <v>كميت سنجه عملكرد همسان شده :</v>
      </c>
      <c r="C189" s="128" t="s">
        <v>161</v>
      </c>
      <c r="D189" s="129">
        <f>$L$15*[19]روکش!$D$3</f>
        <v>0</v>
      </c>
      <c r="E189" s="129"/>
      <c r="F189" s="129"/>
      <c r="G189" s="129"/>
      <c r="H189" s="129"/>
      <c r="I189" s="129"/>
      <c r="N189" s="29"/>
      <c r="O189" s="29"/>
      <c r="P189" s="29"/>
      <c r="Q189" s="29"/>
      <c r="R189" s="29"/>
      <c r="S189" s="29"/>
      <c r="T189" s="29"/>
      <c r="U189" s="29"/>
      <c r="V189" s="29"/>
      <c r="W189" s="29"/>
      <c r="X189" s="30"/>
      <c r="Y189" s="30"/>
      <c r="Z189" s="30"/>
    </row>
    <row r="190" spans="1:26" s="15" customFormat="1" ht="54.95" hidden="1" customHeight="1">
      <c r="C190" s="128" t="s">
        <v>162</v>
      </c>
      <c r="D190" s="129">
        <f>$M$15*[19]روکش!$D$3</f>
        <v>0</v>
      </c>
      <c r="E190" s="129"/>
      <c r="F190" s="129"/>
      <c r="G190" s="129"/>
      <c r="H190" s="129"/>
      <c r="I190" s="129"/>
      <c r="N190" s="29"/>
      <c r="O190" s="29"/>
      <c r="P190" s="29"/>
      <c r="Q190" s="29"/>
      <c r="R190" s="29"/>
      <c r="S190" s="29"/>
      <c r="T190" s="29"/>
      <c r="U190" s="29"/>
      <c r="V190" s="29"/>
      <c r="W190" s="29"/>
      <c r="X190" s="30"/>
      <c r="Y190" s="30"/>
      <c r="Z190" s="30"/>
    </row>
    <row r="191" spans="1:26" s="2" customFormat="1" ht="54.95" customHeight="1">
      <c r="C191" s="135"/>
      <c r="D191" s="136"/>
      <c r="E191" s="136"/>
      <c r="F191" s="136"/>
      <c r="G191" s="136"/>
      <c r="H191" s="136"/>
      <c r="I191" s="136"/>
      <c r="N191" s="124"/>
      <c r="O191" s="124"/>
      <c r="P191" s="124"/>
      <c r="Q191" s="124"/>
      <c r="R191" s="124"/>
      <c r="S191" s="124"/>
      <c r="T191" s="124"/>
      <c r="U191" s="124"/>
      <c r="V191" s="124"/>
      <c r="W191" s="124"/>
      <c r="X191" s="121"/>
      <c r="Y191" s="121"/>
      <c r="Z191" s="121"/>
    </row>
    <row r="192" spans="1:26" s="2" customFormat="1" ht="54.95" customHeight="1">
      <c r="C192" s="135"/>
      <c r="D192" s="136"/>
      <c r="E192" s="136"/>
      <c r="F192" s="136"/>
      <c r="G192" s="136"/>
      <c r="H192" s="136"/>
      <c r="I192" s="136"/>
      <c r="N192" s="124"/>
      <c r="O192" s="124"/>
      <c r="P192" s="124"/>
      <c r="Q192" s="124"/>
      <c r="R192" s="124"/>
      <c r="S192" s="124"/>
      <c r="T192" s="124"/>
      <c r="U192" s="124"/>
      <c r="V192" s="124"/>
      <c r="W192" s="124"/>
      <c r="X192" s="121"/>
      <c r="Y192" s="121"/>
      <c r="Z192" s="121"/>
    </row>
    <row r="193" spans="1:26" s="2" customFormat="1" ht="54.95" customHeight="1">
      <c r="C193" s="135"/>
      <c r="D193" s="136"/>
      <c r="E193" s="136"/>
      <c r="F193" s="136"/>
      <c r="G193" s="136"/>
      <c r="H193" s="136"/>
      <c r="I193" s="136"/>
      <c r="N193" s="124"/>
      <c r="O193" s="124"/>
      <c r="P193" s="124"/>
      <c r="Q193" s="124"/>
      <c r="R193" s="124"/>
      <c r="S193" s="124"/>
      <c r="T193" s="124"/>
      <c r="U193" s="124"/>
      <c r="V193" s="124"/>
      <c r="W193" s="124"/>
      <c r="X193" s="121"/>
      <c r="Y193" s="121"/>
      <c r="Z193" s="121"/>
    </row>
    <row r="194" spans="1:26" s="2" customFormat="1" ht="54.95" customHeight="1">
      <c r="C194" s="135"/>
      <c r="D194" s="136"/>
      <c r="E194" s="136"/>
      <c r="F194" s="136"/>
      <c r="G194" s="136"/>
      <c r="H194" s="136"/>
      <c r="I194" s="136"/>
      <c r="N194" s="124"/>
      <c r="O194" s="124"/>
      <c r="P194" s="124"/>
      <c r="Q194" s="124"/>
      <c r="R194" s="124"/>
      <c r="S194" s="124"/>
      <c r="T194" s="124"/>
      <c r="U194" s="124"/>
      <c r="V194" s="124"/>
      <c r="W194" s="124"/>
      <c r="X194" s="121"/>
      <c r="Y194" s="121"/>
      <c r="Z194" s="121"/>
    </row>
    <row r="195" spans="1:26" s="2" customFormat="1" ht="54.95" customHeight="1">
      <c r="C195" s="135"/>
      <c r="D195" s="136"/>
      <c r="E195" s="136"/>
      <c r="F195" s="136"/>
      <c r="G195" s="136"/>
      <c r="H195" s="136"/>
      <c r="I195" s="136"/>
      <c r="N195" s="124"/>
      <c r="O195" s="124"/>
      <c r="P195" s="124"/>
      <c r="Q195" s="124"/>
      <c r="R195" s="124"/>
      <c r="S195" s="124"/>
      <c r="T195" s="124"/>
      <c r="U195" s="124"/>
      <c r="V195" s="124"/>
      <c r="W195" s="124"/>
      <c r="X195" s="121"/>
      <c r="Y195" s="121"/>
      <c r="Z195" s="121"/>
    </row>
    <row r="196" spans="1:26" s="2" customFormat="1" ht="54.95" customHeight="1">
      <c r="C196" s="135"/>
      <c r="D196" s="136"/>
      <c r="E196" s="136"/>
      <c r="F196" s="136"/>
      <c r="G196" s="136"/>
      <c r="H196" s="136"/>
      <c r="I196" s="136"/>
      <c r="N196" s="124"/>
      <c r="O196" s="124"/>
      <c r="P196" s="124"/>
      <c r="Q196" s="124"/>
      <c r="R196" s="124"/>
      <c r="S196" s="124"/>
      <c r="T196" s="124"/>
      <c r="U196" s="124"/>
      <c r="V196" s="124"/>
      <c r="W196" s="124"/>
      <c r="X196" s="121"/>
      <c r="Y196" s="121"/>
      <c r="Z196" s="121"/>
    </row>
    <row r="197" spans="1:26" s="2" customFormat="1" ht="54.95" customHeight="1">
      <c r="C197" s="135"/>
      <c r="D197" s="136"/>
      <c r="E197" s="136"/>
      <c r="F197" s="136"/>
      <c r="G197" s="136"/>
      <c r="H197" s="136"/>
      <c r="I197" s="136"/>
      <c r="N197" s="124"/>
      <c r="O197" s="124"/>
      <c r="P197" s="124"/>
      <c r="Q197" s="124"/>
      <c r="R197" s="124"/>
      <c r="S197" s="124"/>
      <c r="T197" s="124"/>
      <c r="U197" s="124"/>
      <c r="V197" s="124"/>
      <c r="W197" s="124"/>
      <c r="X197" s="121"/>
      <c r="Y197" s="121"/>
      <c r="Z197" s="121"/>
    </row>
    <row r="198" spans="1:26" s="2" customFormat="1" ht="54.95" customHeight="1">
      <c r="C198" s="135"/>
      <c r="D198" s="136"/>
      <c r="E198" s="136"/>
      <c r="F198" s="136"/>
      <c r="G198" s="136"/>
      <c r="H198" s="136"/>
      <c r="I198" s="136"/>
      <c r="N198" s="124"/>
      <c r="O198" s="124"/>
      <c r="P198" s="124"/>
      <c r="Q198" s="124"/>
      <c r="R198" s="124"/>
      <c r="S198" s="124"/>
      <c r="T198" s="124"/>
      <c r="U198" s="124"/>
      <c r="V198" s="124"/>
      <c r="W198" s="124"/>
      <c r="X198" s="121"/>
      <c r="Y198" s="121"/>
      <c r="Z198" s="121"/>
    </row>
    <row r="199" spans="1:26" s="2" customFormat="1" ht="54.95" customHeight="1">
      <c r="C199" s="135"/>
      <c r="D199" s="136"/>
      <c r="E199" s="136"/>
      <c r="F199" s="136"/>
      <c r="G199" s="136"/>
      <c r="H199" s="136"/>
      <c r="I199" s="136"/>
      <c r="N199" s="124"/>
      <c r="O199" s="124"/>
      <c r="P199" s="124"/>
      <c r="Q199" s="124"/>
      <c r="R199" s="124"/>
      <c r="S199" s="124"/>
      <c r="T199" s="124"/>
      <c r="U199" s="124"/>
      <c r="V199" s="124"/>
      <c r="W199" s="124"/>
      <c r="X199" s="121"/>
      <c r="Y199" s="121"/>
      <c r="Z199" s="121"/>
    </row>
    <row r="200" spans="1:26" s="2" customFormat="1" ht="54.95" customHeight="1">
      <c r="C200" s="135"/>
      <c r="D200" s="136"/>
      <c r="E200" s="136"/>
      <c r="F200" s="136"/>
      <c r="G200" s="136"/>
      <c r="H200" s="136"/>
      <c r="I200" s="136"/>
      <c r="N200" s="124"/>
      <c r="O200" s="124"/>
      <c r="P200" s="124"/>
      <c r="Q200" s="124"/>
      <c r="R200" s="124"/>
      <c r="S200" s="124"/>
      <c r="T200" s="124"/>
      <c r="U200" s="124"/>
      <c r="V200" s="124"/>
      <c r="W200" s="124"/>
      <c r="X200" s="121"/>
      <c r="Y200" s="121"/>
      <c r="Z200" s="121"/>
    </row>
    <row r="201" spans="1:26" s="2" customFormat="1" ht="54.95" customHeight="1">
      <c r="C201" s="135"/>
      <c r="D201" s="136"/>
      <c r="E201" s="136"/>
      <c r="F201" s="136"/>
      <c r="G201" s="136"/>
      <c r="H201" s="136"/>
      <c r="I201" s="136"/>
      <c r="N201" s="124"/>
      <c r="O201" s="124"/>
      <c r="P201" s="124"/>
      <c r="Q201" s="124"/>
      <c r="R201" s="124"/>
      <c r="S201" s="124"/>
      <c r="T201" s="124"/>
      <c r="U201" s="124"/>
      <c r="V201" s="124"/>
      <c r="W201" s="124"/>
      <c r="X201" s="121"/>
      <c r="Y201" s="121"/>
      <c r="Z201" s="121"/>
    </row>
    <row r="202" spans="1:26" s="2" customFormat="1" ht="54.95" customHeight="1">
      <c r="C202" s="135"/>
      <c r="D202" s="136"/>
      <c r="E202" s="136"/>
      <c r="F202" s="136"/>
      <c r="G202" s="136"/>
      <c r="H202" s="136"/>
      <c r="I202" s="136"/>
      <c r="N202" s="124"/>
      <c r="O202" s="124"/>
      <c r="P202" s="124"/>
      <c r="Q202" s="124"/>
      <c r="R202" s="124"/>
      <c r="S202" s="124"/>
      <c r="T202" s="124"/>
      <c r="U202" s="124"/>
      <c r="V202" s="124"/>
      <c r="W202" s="124"/>
      <c r="X202" s="121"/>
      <c r="Y202" s="121"/>
      <c r="Z202" s="121"/>
    </row>
    <row r="203" spans="1:26" s="2" customFormat="1" ht="54.95" customHeight="1">
      <c r="A203" s="3"/>
      <c r="B203" s="3"/>
      <c r="C203" s="125"/>
      <c r="D203" s="126"/>
      <c r="E203" s="126"/>
      <c r="F203" s="126"/>
      <c r="G203" s="126"/>
      <c r="H203" s="126"/>
      <c r="I203" s="126"/>
      <c r="J203" s="3"/>
      <c r="K203" s="3"/>
      <c r="L203" s="3"/>
      <c r="N203" s="124"/>
      <c r="O203" s="124"/>
      <c r="P203" s="124"/>
      <c r="Q203" s="124"/>
      <c r="R203" s="124"/>
      <c r="S203" s="124"/>
      <c r="T203" s="124"/>
      <c r="U203" s="124"/>
      <c r="V203" s="124"/>
      <c r="W203" s="124"/>
      <c r="X203" s="121"/>
      <c r="Y203" s="121"/>
      <c r="Z203" s="121"/>
    </row>
    <row r="204" spans="1:26" s="2" customFormat="1" ht="54.95" customHeight="1">
      <c r="A204" s="3"/>
      <c r="B204" s="3"/>
      <c r="C204" s="125"/>
      <c r="D204" s="126"/>
      <c r="E204" s="126"/>
      <c r="F204" s="126"/>
      <c r="G204" s="126"/>
      <c r="H204" s="126"/>
      <c r="I204" s="126"/>
      <c r="J204" s="3"/>
      <c r="K204" s="3"/>
      <c r="L204" s="3"/>
      <c r="N204" s="124"/>
      <c r="O204" s="124"/>
      <c r="P204" s="124"/>
      <c r="Q204" s="124"/>
      <c r="R204" s="124"/>
      <c r="S204" s="124"/>
      <c r="T204" s="124"/>
      <c r="U204" s="124"/>
      <c r="V204" s="124"/>
      <c r="W204" s="124"/>
      <c r="X204" s="121"/>
      <c r="Y204" s="121"/>
      <c r="Z204" s="121"/>
    </row>
    <row r="205" spans="1:26" s="2" customFormat="1" ht="54.95" customHeight="1">
      <c r="A205" s="3"/>
      <c r="B205" s="3"/>
      <c r="C205" s="125"/>
      <c r="D205" s="126"/>
      <c r="E205" s="126"/>
      <c r="F205" s="126"/>
      <c r="G205" s="126"/>
      <c r="H205" s="126"/>
      <c r="I205" s="126"/>
      <c r="J205" s="3"/>
      <c r="K205" s="3"/>
      <c r="L205" s="3"/>
      <c r="N205" s="124"/>
      <c r="O205" s="124"/>
      <c r="P205" s="124"/>
      <c r="Q205" s="124"/>
      <c r="R205" s="124"/>
      <c r="S205" s="124"/>
      <c r="T205" s="124"/>
      <c r="U205" s="124"/>
      <c r="V205" s="124"/>
      <c r="W205" s="124"/>
      <c r="X205" s="121"/>
      <c r="Y205" s="121"/>
      <c r="Z205" s="121"/>
    </row>
    <row r="206" spans="1:26" s="2" customFormat="1" ht="54.95" customHeight="1">
      <c r="A206" s="3"/>
      <c r="B206" s="3"/>
      <c r="C206" s="125"/>
      <c r="D206" s="126"/>
      <c r="E206" s="126"/>
      <c r="F206" s="126"/>
      <c r="G206" s="126"/>
      <c r="H206" s="126"/>
      <c r="I206" s="126"/>
      <c r="J206" s="3"/>
      <c r="K206" s="3"/>
      <c r="L206" s="3"/>
      <c r="N206" s="124"/>
      <c r="O206" s="124"/>
      <c r="P206" s="124"/>
      <c r="Q206" s="124"/>
      <c r="R206" s="124"/>
      <c r="S206" s="124"/>
      <c r="T206" s="124"/>
      <c r="U206" s="124"/>
      <c r="V206" s="124"/>
      <c r="W206" s="124"/>
      <c r="X206" s="121"/>
      <c r="Y206" s="121"/>
      <c r="Z206" s="121"/>
    </row>
    <row r="207" spans="1:26" s="2" customFormat="1" ht="54.95" customHeight="1">
      <c r="A207" s="3"/>
      <c r="B207" s="3"/>
      <c r="C207" s="125"/>
      <c r="D207" s="126"/>
      <c r="E207" s="126"/>
      <c r="F207" s="126"/>
      <c r="G207" s="126"/>
      <c r="H207" s="126"/>
      <c r="I207" s="126"/>
      <c r="J207" s="3"/>
      <c r="K207" s="3"/>
      <c r="L207" s="3"/>
      <c r="N207" s="124"/>
      <c r="O207" s="124"/>
      <c r="P207" s="124"/>
      <c r="Q207" s="124"/>
      <c r="R207" s="124"/>
      <c r="S207" s="124"/>
      <c r="T207" s="124"/>
      <c r="U207" s="124"/>
      <c r="V207" s="124"/>
      <c r="W207" s="124"/>
      <c r="X207" s="121"/>
      <c r="Y207" s="121"/>
      <c r="Z207" s="121"/>
    </row>
    <row r="208" spans="1:26" s="2" customFormat="1" ht="54.95" customHeight="1">
      <c r="A208" s="3"/>
      <c r="B208" s="3"/>
      <c r="C208" s="125"/>
      <c r="D208" s="126"/>
      <c r="E208" s="126"/>
      <c r="F208" s="126"/>
      <c r="G208" s="126"/>
      <c r="H208" s="126"/>
      <c r="I208" s="126"/>
      <c r="J208" s="3"/>
      <c r="K208" s="3"/>
      <c r="L208" s="3"/>
      <c r="N208" s="124"/>
      <c r="O208" s="124"/>
      <c r="P208" s="124"/>
      <c r="Q208" s="124"/>
      <c r="R208" s="124"/>
      <c r="S208" s="124"/>
      <c r="T208" s="124"/>
      <c r="U208" s="124"/>
      <c r="V208" s="124"/>
      <c r="W208" s="124"/>
      <c r="X208" s="121"/>
      <c r="Y208" s="121"/>
      <c r="Z208" s="121"/>
    </row>
    <row r="209" spans="1:26" s="2" customFormat="1" ht="54.95" customHeight="1">
      <c r="A209" s="3"/>
      <c r="B209" s="3"/>
      <c r="C209" s="125"/>
      <c r="D209" s="126"/>
      <c r="E209" s="126"/>
      <c r="F209" s="126"/>
      <c r="G209" s="126"/>
      <c r="H209" s="126"/>
      <c r="I209" s="126"/>
      <c r="J209" s="3"/>
      <c r="K209" s="3"/>
      <c r="L209" s="3"/>
      <c r="N209" s="124"/>
      <c r="O209" s="124"/>
      <c r="P209" s="124"/>
      <c r="Q209" s="124"/>
      <c r="R209" s="124"/>
      <c r="S209" s="124"/>
      <c r="T209" s="124"/>
      <c r="U209" s="124"/>
      <c r="V209" s="124"/>
      <c r="W209" s="124"/>
      <c r="X209" s="121"/>
      <c r="Y209" s="121"/>
      <c r="Z209" s="121"/>
    </row>
    <row r="210" spans="1:26" s="2" customFormat="1" ht="54.95" customHeight="1">
      <c r="A210" s="3"/>
      <c r="B210" s="3"/>
      <c r="C210" s="125"/>
      <c r="D210" s="126"/>
      <c r="E210" s="126"/>
      <c r="F210" s="126"/>
      <c r="G210" s="126"/>
      <c r="H210" s="126"/>
      <c r="I210" s="126"/>
      <c r="J210" s="3"/>
      <c r="K210" s="3"/>
      <c r="L210" s="3"/>
      <c r="N210" s="124"/>
      <c r="O210" s="124"/>
      <c r="P210" s="124"/>
      <c r="Q210" s="124"/>
      <c r="R210" s="124"/>
      <c r="S210" s="124"/>
      <c r="T210" s="124"/>
      <c r="U210" s="124"/>
      <c r="V210" s="124"/>
      <c r="W210" s="124"/>
      <c r="X210" s="121"/>
      <c r="Y210" s="121"/>
      <c r="Z210" s="121"/>
    </row>
    <row r="211" spans="1:26" s="2" customFormat="1" ht="54.95" customHeight="1">
      <c r="A211" s="3"/>
      <c r="B211" s="3"/>
      <c r="C211" s="125"/>
      <c r="D211" s="126"/>
      <c r="E211" s="126"/>
      <c r="F211" s="126"/>
      <c r="G211" s="126"/>
      <c r="H211" s="126"/>
      <c r="I211" s="126"/>
      <c r="J211" s="3"/>
      <c r="K211" s="3"/>
      <c r="L211" s="3"/>
      <c r="N211" s="124"/>
      <c r="O211" s="124"/>
      <c r="P211" s="124"/>
      <c r="Q211" s="124"/>
      <c r="R211" s="124"/>
      <c r="S211" s="124"/>
      <c r="T211" s="124"/>
      <c r="U211" s="124"/>
      <c r="V211" s="124"/>
      <c r="W211" s="124"/>
      <c r="X211" s="121"/>
      <c r="Y211" s="121"/>
      <c r="Z211" s="121"/>
    </row>
    <row r="212" spans="1:26" s="2" customFormat="1" ht="54.95" customHeight="1">
      <c r="A212" s="3"/>
      <c r="B212" s="3"/>
      <c r="C212" s="125"/>
      <c r="D212" s="126"/>
      <c r="E212" s="126"/>
      <c r="F212" s="126"/>
      <c r="G212" s="126"/>
      <c r="H212" s="126"/>
      <c r="I212" s="126"/>
      <c r="J212" s="3"/>
      <c r="K212" s="3"/>
      <c r="L212" s="3"/>
      <c r="N212" s="124"/>
      <c r="O212" s="124"/>
      <c r="P212" s="124"/>
      <c r="Q212" s="124"/>
      <c r="R212" s="124"/>
      <c r="S212" s="124"/>
      <c r="T212" s="124"/>
      <c r="U212" s="124"/>
      <c r="V212" s="124"/>
      <c r="W212" s="124"/>
      <c r="X212" s="121"/>
      <c r="Y212" s="121"/>
      <c r="Z212" s="121"/>
    </row>
    <row r="213" spans="1:26" s="2" customFormat="1" ht="54.95" customHeight="1">
      <c r="A213" s="3"/>
      <c r="B213" s="3"/>
      <c r="C213" s="125"/>
      <c r="D213" s="126"/>
      <c r="E213" s="126"/>
      <c r="F213" s="126"/>
      <c r="G213" s="126"/>
      <c r="H213" s="126"/>
      <c r="I213" s="126"/>
      <c r="J213" s="3"/>
      <c r="K213" s="3"/>
      <c r="L213" s="3"/>
      <c r="N213" s="124"/>
      <c r="O213" s="124"/>
      <c r="P213" s="124"/>
      <c r="Q213" s="124"/>
      <c r="R213" s="124"/>
      <c r="S213" s="124"/>
      <c r="T213" s="124"/>
      <c r="U213" s="124"/>
      <c r="V213" s="124"/>
      <c r="W213" s="124"/>
      <c r="X213" s="121"/>
      <c r="Y213" s="121"/>
      <c r="Z213" s="121"/>
    </row>
    <row r="214" spans="1:26" ht="54.95" customHeight="1"/>
    <row r="215" spans="1:26" ht="54.95" customHeight="1"/>
    <row r="216" spans="1:26" ht="54.95" customHeight="1"/>
    <row r="217" spans="1:26" ht="54.95" customHeight="1"/>
    <row r="218" spans="1:26" ht="54.95" customHeight="1"/>
    <row r="219" spans="1:26" ht="54.95" customHeight="1"/>
    <row r="220" spans="1:26" ht="54.95" customHeight="1"/>
    <row r="221" spans="1:26" ht="54.95" customHeight="1"/>
    <row r="222" spans="1:26" ht="54.95" customHeight="1"/>
    <row r="223" spans="1:26" ht="54.95" customHeight="1"/>
    <row r="224" spans="1:26" ht="54.95" customHeight="1"/>
    <row r="225" ht="54.95" customHeight="1"/>
    <row r="226" ht="54.95" customHeight="1"/>
    <row r="227" ht="54.95" customHeight="1"/>
    <row r="228" ht="54.95" customHeight="1"/>
    <row r="229" ht="54.95" customHeight="1"/>
    <row r="230" ht="54.95" customHeight="1"/>
    <row r="231" ht="54.95" customHeight="1"/>
    <row r="232" ht="54.95" customHeight="1"/>
    <row r="233" ht="54.95" customHeight="1"/>
    <row r="234" ht="54.95" customHeight="1"/>
    <row r="235" ht="54.95" customHeight="1"/>
    <row r="236" ht="54.95" customHeight="1"/>
    <row r="237" ht="54.95" customHeight="1"/>
    <row r="238" ht="54.95" customHeight="1"/>
    <row r="239" ht="54.95" customHeight="1"/>
    <row r="240" ht="54.95" customHeight="1"/>
    <row r="241" ht="54.95" customHeight="1"/>
    <row r="242" ht="54.95" customHeight="1"/>
    <row r="243" ht="54.95" customHeight="1"/>
    <row r="244" ht="54.95" customHeight="1"/>
    <row r="245" ht="54.95" customHeight="1"/>
    <row r="246" ht="54.95" customHeight="1"/>
    <row r="247" ht="54.95" customHeight="1"/>
    <row r="248" ht="54.95" customHeight="1"/>
    <row r="249" ht="54.95" customHeight="1"/>
    <row r="250" ht="54.95" customHeight="1"/>
  </sheetData>
  <mergeCells count="13">
    <mergeCell ref="A15:B15"/>
    <mergeCell ref="C15:K15"/>
    <mergeCell ref="A16:L16"/>
    <mergeCell ref="A1:M1"/>
    <mergeCell ref="B2:B3"/>
    <mergeCell ref="C2:C3"/>
    <mergeCell ref="D2:G2"/>
    <mergeCell ref="H2:H3"/>
    <mergeCell ref="I2:I3"/>
    <mergeCell ref="J2:J3"/>
    <mergeCell ref="K2:K3"/>
    <mergeCell ref="L2:L3"/>
    <mergeCell ref="M2:M3"/>
  </mergeCells>
  <pageMargins left="0.7" right="0.7" top="0.75" bottom="0.75" header="0.3" footer="0.3"/>
  <pageSetup paperSize="9" scale="71" orientation="portrait" r:id="rId1"/>
  <drawing r:id="rId2"/>
  <legacy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rightToLeft="1" workbookViewId="0">
      <selection sqref="A1:C1"/>
    </sheetView>
  </sheetViews>
  <sheetFormatPr defaultRowHeight="27"/>
  <cols>
    <col min="1" max="1" width="18.33203125" style="60" customWidth="1"/>
    <col min="2" max="2" width="126.6640625" style="60" customWidth="1"/>
    <col min="3" max="3" width="18.33203125" style="60" customWidth="1"/>
    <col min="4" max="16384" width="9.33203125" style="60"/>
  </cols>
  <sheetData>
    <row r="1" spans="1:3" ht="59.25" customHeight="1">
      <c r="A1" s="387" t="s">
        <v>618</v>
      </c>
      <c r="B1" s="387"/>
      <c r="C1" s="387"/>
    </row>
    <row r="2" spans="1:3" s="62" customFormat="1" ht="54.95" customHeight="1">
      <c r="A2" s="388"/>
      <c r="B2" s="61" t="str">
        <f>'[19]سیاست ها و برنامه ها '!$A$1</f>
        <v>اهداف کلی 1: تامین بهداشت و سلامت دام</v>
      </c>
      <c r="C2" s="389"/>
    </row>
    <row r="3" spans="1:3" s="62" customFormat="1" ht="54.95" customHeight="1">
      <c r="A3" s="388"/>
      <c r="B3" s="63" t="str">
        <f>'[19]سیاست ها و برنامه ها '!A2</f>
        <v xml:space="preserve">راهبرد 2-1: ارتقاء شاخص های کنترل بیماری های دام، طیور و آبزیان </v>
      </c>
      <c r="C3" s="389"/>
    </row>
    <row r="4" spans="1:3" s="62" customFormat="1" ht="54.95" customHeight="1">
      <c r="A4" s="388"/>
      <c r="B4" s="64" t="str">
        <f>CONCATENATE([19]روکش!A1," ",[19]روکش!B1)</f>
        <v xml:space="preserve"> عنوان هدف کمی: کاهش بروز بیماری در کلنی های زنبور عسل  و کاهش بروز بیماری در کرم ابریشم</v>
      </c>
      <c r="C4" s="389"/>
    </row>
    <row r="5" spans="1:3" s="62" customFormat="1" ht="54.95" customHeight="1">
      <c r="A5" s="388"/>
      <c r="B5" s="64" t="str">
        <f>CONCATENATE([19]روکش!A2,"  ",[19]روکش!B2,"     ",[19]روکش!C2,"  ",[19]روکش!D2)</f>
        <v>عنوان سنجه عملکرد:   بازدید/ نمونه برداری     شاخص سنجه:  2</v>
      </c>
      <c r="C5" s="389"/>
    </row>
    <row r="6" spans="1:3" s="62" customFormat="1" ht="54.95" customHeight="1">
      <c r="A6" s="388"/>
      <c r="B6" s="64" t="s">
        <v>559</v>
      </c>
      <c r="C6" s="389"/>
    </row>
    <row r="7" spans="1:3" s="62" customFormat="1" ht="54.95" customHeight="1">
      <c r="A7" s="388"/>
      <c r="B7" s="64" t="s">
        <v>581</v>
      </c>
      <c r="C7" s="389"/>
    </row>
    <row r="8" spans="1:3" ht="54.95" customHeight="1">
      <c r="A8" s="388"/>
      <c r="B8" s="145" t="s">
        <v>582</v>
      </c>
      <c r="C8" s="389"/>
    </row>
    <row r="9" spans="1:3" ht="60.75" customHeight="1">
      <c r="A9" s="390"/>
      <c r="B9" s="390"/>
      <c r="C9" s="390"/>
    </row>
    <row r="10" spans="1:3" ht="22.5" customHeight="1"/>
    <row r="11" spans="1:3" ht="22.5" customHeight="1"/>
  </sheetData>
  <dataConsolidate/>
  <mergeCells count="4">
    <mergeCell ref="A1:C1"/>
    <mergeCell ref="A2:A8"/>
    <mergeCell ref="C2:C8"/>
    <mergeCell ref="A9:C9"/>
  </mergeCell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7"/>
  <sheetViews>
    <sheetView showGridLines="0" rightToLeft="1" workbookViewId="0">
      <pane xSplit="11" topLeftCell="L1" activePane="topRight" state="frozen"/>
      <selection pane="topRight" activeCell="L2" sqref="L2"/>
    </sheetView>
  </sheetViews>
  <sheetFormatPr defaultRowHeight="18"/>
  <cols>
    <col min="1" max="1" width="15.5" customWidth="1"/>
    <col min="2" max="2" width="11.5" customWidth="1"/>
    <col min="3" max="3" width="50.6640625" customWidth="1"/>
    <col min="4" max="4" width="21.6640625" customWidth="1"/>
    <col min="5" max="10" width="9.83203125" customWidth="1"/>
    <col min="11" max="11" width="16.83203125" customWidth="1"/>
    <col min="12" max="12" width="12.1640625" customWidth="1"/>
  </cols>
  <sheetData>
    <row r="1" spans="1:11" ht="52.5" customHeight="1">
      <c r="A1" s="435" t="s">
        <v>732</v>
      </c>
      <c r="B1" s="436"/>
      <c r="C1" s="436"/>
      <c r="D1" s="436"/>
      <c r="E1" s="436"/>
      <c r="F1" s="436"/>
      <c r="G1" s="436"/>
      <c r="H1" s="436"/>
      <c r="I1" s="436"/>
      <c r="J1" s="436"/>
      <c r="K1" s="437"/>
    </row>
    <row r="2" spans="1:11" ht="72.75" customHeight="1">
      <c r="A2" s="438"/>
      <c r="B2" s="217" t="s">
        <v>0</v>
      </c>
      <c r="C2" s="218" t="s">
        <v>633</v>
      </c>
      <c r="D2" s="219" t="s">
        <v>632</v>
      </c>
      <c r="E2" s="219">
        <v>1396</v>
      </c>
      <c r="F2" s="219">
        <v>1397</v>
      </c>
      <c r="G2" s="219">
        <v>1398</v>
      </c>
      <c r="H2" s="219">
        <v>1399</v>
      </c>
      <c r="I2" s="219">
        <v>1400</v>
      </c>
      <c r="J2" s="219">
        <v>1401</v>
      </c>
      <c r="K2" s="439"/>
    </row>
    <row r="3" spans="1:11" ht="65.099999999999994" customHeight="1">
      <c r="A3" s="438"/>
      <c r="B3" s="254" t="s">
        <v>629</v>
      </c>
      <c r="C3" s="253" t="s">
        <v>663</v>
      </c>
      <c r="D3" s="220" t="s">
        <v>636</v>
      </c>
      <c r="E3" s="221"/>
      <c r="F3" s="221"/>
      <c r="G3" s="221"/>
      <c r="H3" s="221"/>
      <c r="I3" s="221"/>
      <c r="J3" s="221"/>
      <c r="K3" s="439"/>
    </row>
    <row r="4" spans="1:11" ht="65.099999999999994" customHeight="1">
      <c r="A4" s="438"/>
      <c r="B4" s="254" t="s">
        <v>630</v>
      </c>
      <c r="C4" s="253" t="s">
        <v>664</v>
      </c>
      <c r="D4" s="220" t="s">
        <v>636</v>
      </c>
      <c r="E4" s="221"/>
      <c r="F4" s="221"/>
      <c r="G4" s="221"/>
      <c r="H4" s="221"/>
      <c r="I4" s="221"/>
      <c r="J4" s="221"/>
      <c r="K4" s="439"/>
    </row>
    <row r="5" spans="1:11" ht="65.099999999999994" customHeight="1">
      <c r="A5" s="438"/>
      <c r="B5" s="254" t="s">
        <v>631</v>
      </c>
      <c r="C5" s="253" t="s">
        <v>665</v>
      </c>
      <c r="D5" s="220" t="s">
        <v>636</v>
      </c>
      <c r="E5" s="221"/>
      <c r="F5" s="221"/>
      <c r="G5" s="221"/>
      <c r="H5" s="221"/>
      <c r="I5" s="221"/>
      <c r="J5" s="221"/>
      <c r="K5" s="439"/>
    </row>
    <row r="6" spans="1:11" ht="65.099999999999994" customHeight="1">
      <c r="A6" s="438"/>
      <c r="B6" s="254" t="s">
        <v>642</v>
      </c>
      <c r="C6" s="253" t="s">
        <v>666</v>
      </c>
      <c r="D6" s="220" t="s">
        <v>636</v>
      </c>
      <c r="E6" s="221"/>
      <c r="F6" s="221"/>
      <c r="G6" s="221"/>
      <c r="H6" s="221"/>
      <c r="I6" s="221"/>
      <c r="J6" s="221"/>
      <c r="K6" s="439"/>
    </row>
    <row r="7" spans="1:11" ht="65.099999999999994" customHeight="1">
      <c r="A7" s="438"/>
      <c r="B7" s="254" t="s">
        <v>643</v>
      </c>
      <c r="C7" s="253" t="s">
        <v>667</v>
      </c>
      <c r="D7" s="220" t="s">
        <v>636</v>
      </c>
      <c r="E7" s="221"/>
      <c r="F7" s="221"/>
      <c r="G7" s="221"/>
      <c r="H7" s="221"/>
      <c r="I7" s="221"/>
      <c r="J7" s="221"/>
      <c r="K7" s="439"/>
    </row>
    <row r="8" spans="1:11" ht="66" customHeight="1">
      <c r="A8" s="397"/>
      <c r="B8" s="398"/>
      <c r="C8" s="398"/>
      <c r="D8" s="398"/>
      <c r="E8" s="398"/>
      <c r="F8" s="398"/>
      <c r="G8" s="398"/>
      <c r="H8" s="398"/>
      <c r="I8" s="398"/>
      <c r="J8" s="398"/>
      <c r="K8" s="399"/>
    </row>
    <row r="9" spans="1:11" ht="45" customHeight="1"/>
    <row r="10" spans="1:11" ht="45" customHeight="1"/>
    <row r="11" spans="1:11" ht="45" customHeight="1"/>
    <row r="12" spans="1:11" ht="45" customHeight="1"/>
    <row r="13" spans="1:11" ht="45" customHeight="1"/>
    <row r="14" spans="1:11" ht="45" customHeight="1"/>
    <row r="15" spans="1:11" ht="45" customHeight="1"/>
    <row r="16" spans="1:11"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sheetData>
  <mergeCells count="4">
    <mergeCell ref="A8:K8"/>
    <mergeCell ref="A1:K1"/>
    <mergeCell ref="A2:A7"/>
    <mergeCell ref="K2:K7"/>
  </mergeCells>
  <pageMargins left="0.7" right="0.7" top="0.75" bottom="0.75" header="0.3" footer="0.3"/>
  <pageSetup paperSize="9" orientation="portrait" r:id="rId1"/>
  <ignoredErrors>
    <ignoredError sqref="B3 B4:B7" numberStoredAsText="1"/>
  </ignoredErrors>
  <drawing r:id="rId2"/>
  <legacy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rightToLeft="1" workbookViewId="0">
      <pane xSplit="8" topLeftCell="I1" activePane="topRight" state="frozen"/>
      <selection pane="topRight" sqref="A1:H1"/>
    </sheetView>
  </sheetViews>
  <sheetFormatPr defaultColWidth="25" defaultRowHeight="54.95" customHeight="1"/>
  <cols>
    <col min="1" max="1" width="12.5" style="147" customWidth="1"/>
    <col min="2" max="3" width="10.1640625" style="147" customWidth="1"/>
    <col min="4" max="4" width="46" style="147" customWidth="1"/>
    <col min="5" max="7" width="24.1640625" style="147" customWidth="1"/>
    <col min="8" max="8" width="12.33203125" style="147" customWidth="1"/>
    <col min="9" max="16384" width="25" style="147"/>
  </cols>
  <sheetData>
    <row r="1" spans="1:8" s="162" customFormat="1" ht="24.95" customHeight="1">
      <c r="A1" s="405" t="s">
        <v>842</v>
      </c>
      <c r="B1" s="405"/>
      <c r="C1" s="405"/>
      <c r="D1" s="405"/>
      <c r="E1" s="405"/>
      <c r="F1" s="405"/>
      <c r="G1" s="405"/>
      <c r="H1" s="405"/>
    </row>
    <row r="2" spans="1:8" s="162" customFormat="1" ht="24.95" customHeight="1">
      <c r="A2" s="405" t="s">
        <v>118</v>
      </c>
      <c r="B2" s="405"/>
      <c r="C2" s="405"/>
      <c r="D2" s="405"/>
      <c r="E2" s="405"/>
      <c r="F2" s="405"/>
      <c r="G2" s="405"/>
      <c r="H2" s="405"/>
    </row>
    <row r="3" spans="1:8" s="162" customFormat="1" ht="24.95" customHeight="1">
      <c r="A3" s="405" t="s">
        <v>843</v>
      </c>
      <c r="B3" s="405"/>
      <c r="C3" s="405"/>
      <c r="D3" s="405"/>
      <c r="E3" s="405"/>
      <c r="F3" s="405"/>
      <c r="G3" s="405"/>
      <c r="H3" s="405"/>
    </row>
    <row r="4" spans="1:8" s="162" customFormat="1" ht="24.95" customHeight="1">
      <c r="A4" s="405" t="s">
        <v>737</v>
      </c>
      <c r="B4" s="405"/>
      <c r="C4" s="405"/>
      <c r="D4" s="405"/>
      <c r="E4" s="405"/>
      <c r="F4" s="405"/>
      <c r="G4" s="405"/>
      <c r="H4" s="405"/>
    </row>
    <row r="5" spans="1:8" ht="24.95" customHeight="1">
      <c r="A5" s="404" t="s">
        <v>844</v>
      </c>
      <c r="B5" s="404"/>
      <c r="C5" s="404"/>
      <c r="D5" s="404"/>
      <c r="E5" s="404"/>
      <c r="F5" s="404"/>
      <c r="G5" s="404"/>
      <c r="H5" s="404"/>
    </row>
    <row r="6" spans="1:8" ht="24.95" customHeight="1">
      <c r="A6" s="404" t="s">
        <v>845</v>
      </c>
      <c r="B6" s="404"/>
      <c r="C6" s="404"/>
      <c r="D6" s="404"/>
      <c r="E6" s="404"/>
      <c r="F6" s="404"/>
      <c r="G6" s="404"/>
      <c r="H6" s="404"/>
    </row>
    <row r="7" spans="1:8" ht="24.95" customHeight="1">
      <c r="A7" s="404" t="s">
        <v>846</v>
      </c>
      <c r="B7" s="404"/>
      <c r="C7" s="404"/>
      <c r="D7" s="404"/>
      <c r="E7" s="404"/>
      <c r="F7" s="404"/>
      <c r="G7" s="404"/>
      <c r="H7" s="404"/>
    </row>
    <row r="8" spans="1:8" ht="24.95" customHeight="1">
      <c r="A8" s="404" t="s">
        <v>847</v>
      </c>
      <c r="B8" s="404"/>
      <c r="C8" s="404"/>
      <c r="D8" s="404"/>
      <c r="E8" s="404"/>
      <c r="F8" s="404"/>
      <c r="G8" s="404"/>
      <c r="H8" s="404"/>
    </row>
    <row r="9" spans="1:8" ht="24.95" customHeight="1">
      <c r="A9" s="404" t="s">
        <v>848</v>
      </c>
      <c r="B9" s="404"/>
      <c r="C9" s="404"/>
      <c r="D9" s="404"/>
      <c r="E9" s="404"/>
      <c r="F9" s="404"/>
      <c r="G9" s="404"/>
      <c r="H9" s="404"/>
    </row>
    <row r="10" spans="1:8" ht="24.95" customHeight="1">
      <c r="A10" s="404" t="s">
        <v>849</v>
      </c>
      <c r="B10" s="404"/>
      <c r="C10" s="404"/>
      <c r="D10" s="404"/>
      <c r="E10" s="404"/>
      <c r="F10" s="404"/>
      <c r="G10" s="404"/>
      <c r="H10" s="404"/>
    </row>
    <row r="11" spans="1:8" ht="24.95" customHeight="1">
      <c r="A11" s="404" t="s">
        <v>850</v>
      </c>
      <c r="B11" s="404"/>
      <c r="C11" s="404"/>
      <c r="D11" s="404"/>
      <c r="E11" s="404"/>
      <c r="F11" s="404"/>
      <c r="G11" s="404"/>
      <c r="H11" s="404"/>
    </row>
    <row r="12" spans="1:8" ht="24.95" customHeight="1">
      <c r="A12" s="404" t="s">
        <v>851</v>
      </c>
      <c r="B12" s="404"/>
      <c r="C12" s="404"/>
      <c r="D12" s="404"/>
      <c r="E12" s="404"/>
      <c r="F12" s="404"/>
      <c r="G12" s="404"/>
      <c r="H12" s="404"/>
    </row>
    <row r="13" spans="1:8" ht="24.95" customHeight="1">
      <c r="A13" s="404" t="s">
        <v>852</v>
      </c>
      <c r="B13" s="404"/>
      <c r="C13" s="404"/>
      <c r="D13" s="404"/>
      <c r="E13" s="404"/>
      <c r="F13" s="404"/>
      <c r="G13" s="404"/>
      <c r="H13" s="404"/>
    </row>
    <row r="14" spans="1:8" ht="24.95" customHeight="1">
      <c r="A14" s="404" t="s">
        <v>853</v>
      </c>
      <c r="B14" s="404"/>
      <c r="C14" s="404"/>
      <c r="D14" s="404"/>
      <c r="E14" s="404"/>
      <c r="F14" s="404"/>
      <c r="G14" s="404"/>
      <c r="H14" s="404"/>
    </row>
    <row r="15" spans="1:8" ht="24.95" customHeight="1">
      <c r="A15" s="404" t="s">
        <v>781</v>
      </c>
      <c r="B15" s="404"/>
      <c r="C15" s="404"/>
      <c r="D15" s="404"/>
      <c r="E15" s="404"/>
      <c r="F15" s="404"/>
      <c r="G15" s="404"/>
      <c r="H15" s="404"/>
    </row>
    <row r="16" spans="1:8" ht="24.95" customHeight="1">
      <c r="A16" s="404" t="s">
        <v>854</v>
      </c>
      <c r="B16" s="404"/>
      <c r="C16" s="404"/>
      <c r="D16" s="404"/>
      <c r="E16" s="404"/>
      <c r="F16" s="404"/>
      <c r="G16" s="404"/>
      <c r="H16" s="404"/>
    </row>
    <row r="17" spans="1:8" s="146" customFormat="1" ht="45" customHeight="1">
      <c r="A17" s="408"/>
      <c r="B17" s="222" t="s">
        <v>0</v>
      </c>
      <c r="C17" s="222"/>
      <c r="D17" s="222" t="s">
        <v>626</v>
      </c>
      <c r="E17" s="224" t="s">
        <v>788</v>
      </c>
      <c r="F17" s="224" t="s">
        <v>789</v>
      </c>
      <c r="G17" s="224" t="s">
        <v>790</v>
      </c>
      <c r="H17" s="409"/>
    </row>
    <row r="18" spans="1:8" s="146" customFormat="1" ht="39.950000000000003" customHeight="1">
      <c r="A18" s="408"/>
      <c r="B18" s="255" t="s">
        <v>855</v>
      </c>
      <c r="C18" s="444" t="s">
        <v>856</v>
      </c>
      <c r="D18" s="256" t="s">
        <v>663</v>
      </c>
      <c r="E18" s="227" t="s">
        <v>825</v>
      </c>
      <c r="F18" s="260">
        <v>0.1</v>
      </c>
      <c r="G18" s="260">
        <f>F18-(F18*12%)</f>
        <v>8.8000000000000009E-2</v>
      </c>
      <c r="H18" s="409"/>
    </row>
    <row r="19" spans="1:8" s="146" customFormat="1" ht="39.950000000000003" customHeight="1">
      <c r="A19" s="408"/>
      <c r="B19" s="255" t="s">
        <v>857</v>
      </c>
      <c r="C19" s="444"/>
      <c r="D19" s="256" t="s">
        <v>664</v>
      </c>
      <c r="E19" s="227" t="s">
        <v>825</v>
      </c>
      <c r="F19" s="260">
        <v>0.82</v>
      </c>
      <c r="G19" s="242">
        <f t="shared" ref="G19:G22" si="0">F19-(F19*12%)</f>
        <v>0.72160000000000002</v>
      </c>
      <c r="H19" s="409"/>
    </row>
    <row r="20" spans="1:8" s="146" customFormat="1" ht="39.950000000000003" customHeight="1">
      <c r="A20" s="408"/>
      <c r="B20" s="255" t="s">
        <v>858</v>
      </c>
      <c r="C20" s="444"/>
      <c r="D20" s="256" t="s">
        <v>665</v>
      </c>
      <c r="E20" s="227" t="s">
        <v>825</v>
      </c>
      <c r="F20" s="260">
        <v>1.1000000000000001</v>
      </c>
      <c r="G20" s="260">
        <f t="shared" si="0"/>
        <v>0.96800000000000008</v>
      </c>
      <c r="H20" s="409"/>
    </row>
    <row r="21" spans="1:8" s="146" customFormat="1" ht="39.950000000000003" customHeight="1">
      <c r="A21" s="408"/>
      <c r="B21" s="255" t="s">
        <v>859</v>
      </c>
      <c r="C21" s="444"/>
      <c r="D21" s="256" t="s">
        <v>666</v>
      </c>
      <c r="E21" s="227" t="s">
        <v>825</v>
      </c>
      <c r="F21" s="260">
        <v>3.36</v>
      </c>
      <c r="G21" s="242">
        <f t="shared" si="0"/>
        <v>2.9567999999999999</v>
      </c>
      <c r="H21" s="409"/>
    </row>
    <row r="22" spans="1:8" s="146" customFormat="1" ht="39.950000000000003" customHeight="1">
      <c r="A22" s="408"/>
      <c r="B22" s="255" t="s">
        <v>860</v>
      </c>
      <c r="C22" s="444"/>
      <c r="D22" s="256" t="s">
        <v>667</v>
      </c>
      <c r="E22" s="227" t="s">
        <v>825</v>
      </c>
      <c r="F22" s="260">
        <v>15</v>
      </c>
      <c r="G22" s="242">
        <f t="shared" si="0"/>
        <v>13.2</v>
      </c>
      <c r="H22" s="409"/>
    </row>
    <row r="23" spans="1:8" s="146" customFormat="1" ht="39.950000000000003" customHeight="1">
      <c r="A23" s="408"/>
      <c r="B23" s="255" t="s">
        <v>861</v>
      </c>
      <c r="C23" s="444"/>
      <c r="D23" s="256" t="s">
        <v>862</v>
      </c>
      <c r="E23" s="227" t="s">
        <v>825</v>
      </c>
      <c r="F23" s="260" t="s">
        <v>47</v>
      </c>
      <c r="G23" s="260" t="s">
        <v>47</v>
      </c>
      <c r="H23" s="409"/>
    </row>
    <row r="24" spans="1:8" s="146" customFormat="1" ht="39.950000000000003" customHeight="1">
      <c r="A24" s="408"/>
      <c r="B24" s="255" t="s">
        <v>863</v>
      </c>
      <c r="C24" s="444"/>
      <c r="D24" s="256" t="s">
        <v>864</v>
      </c>
      <c r="E24" s="227" t="s">
        <v>825</v>
      </c>
      <c r="F24" s="260" t="s">
        <v>47</v>
      </c>
      <c r="G24" s="260" t="s">
        <v>47</v>
      </c>
      <c r="H24" s="409"/>
    </row>
    <row r="25" spans="1:8" s="146" customFormat="1" ht="39.950000000000003" customHeight="1">
      <c r="A25" s="408"/>
      <c r="B25" s="255" t="s">
        <v>865</v>
      </c>
      <c r="C25" s="444" t="s">
        <v>866</v>
      </c>
      <c r="D25" s="256" t="s">
        <v>867</v>
      </c>
      <c r="E25" s="227" t="s">
        <v>825</v>
      </c>
      <c r="F25" s="260" t="s">
        <v>47</v>
      </c>
      <c r="G25" s="260" t="s">
        <v>47</v>
      </c>
      <c r="H25" s="409"/>
    </row>
    <row r="26" spans="1:8" s="146" customFormat="1" ht="39.950000000000003" customHeight="1">
      <c r="A26" s="408"/>
      <c r="B26" s="255" t="s">
        <v>868</v>
      </c>
      <c r="C26" s="444"/>
      <c r="D26" s="256" t="s">
        <v>869</v>
      </c>
      <c r="E26" s="227" t="s">
        <v>825</v>
      </c>
      <c r="F26" s="260" t="s">
        <v>47</v>
      </c>
      <c r="G26" s="260" t="s">
        <v>47</v>
      </c>
      <c r="H26" s="409"/>
    </row>
    <row r="27" spans="1:8" s="146" customFormat="1" ht="39.950000000000003" customHeight="1">
      <c r="A27" s="408"/>
      <c r="B27" s="255" t="s">
        <v>870</v>
      </c>
      <c r="C27" s="444"/>
      <c r="D27" s="256" t="s">
        <v>871</v>
      </c>
      <c r="E27" s="227" t="s">
        <v>825</v>
      </c>
      <c r="F27" s="260" t="s">
        <v>47</v>
      </c>
      <c r="G27" s="260" t="s">
        <v>47</v>
      </c>
      <c r="H27" s="409"/>
    </row>
    <row r="28" spans="1:8" s="146" customFormat="1" ht="39.950000000000003" customHeight="1">
      <c r="A28" s="408"/>
      <c r="B28" s="255" t="s">
        <v>872</v>
      </c>
      <c r="C28" s="444"/>
      <c r="D28" s="256" t="s">
        <v>873</v>
      </c>
      <c r="E28" s="227" t="s">
        <v>825</v>
      </c>
      <c r="F28" s="260" t="s">
        <v>47</v>
      </c>
      <c r="G28" s="260" t="s">
        <v>47</v>
      </c>
      <c r="H28" s="409"/>
    </row>
    <row r="29" spans="1:8" ht="65.099999999999994" customHeight="1">
      <c r="A29" s="406"/>
      <c r="B29" s="406"/>
      <c r="C29" s="406"/>
      <c r="D29" s="406"/>
      <c r="E29" s="406"/>
      <c r="F29" s="406"/>
      <c r="G29" s="406"/>
      <c r="H29" s="407"/>
    </row>
  </sheetData>
  <mergeCells count="21">
    <mergeCell ref="A29:H29"/>
    <mergeCell ref="A13:H13"/>
    <mergeCell ref="A14:H14"/>
    <mergeCell ref="A15:H15"/>
    <mergeCell ref="A16:H16"/>
    <mergeCell ref="A17:A28"/>
    <mergeCell ref="H17:H28"/>
    <mergeCell ref="C18:C24"/>
    <mergeCell ref="C25:C28"/>
    <mergeCell ref="A12:H12"/>
    <mergeCell ref="A1:H1"/>
    <mergeCell ref="A2:H2"/>
    <mergeCell ref="A3:H3"/>
    <mergeCell ref="A4:H4"/>
    <mergeCell ref="A5:H5"/>
    <mergeCell ref="A6:H6"/>
    <mergeCell ref="A7:H7"/>
    <mergeCell ref="A8:H8"/>
    <mergeCell ref="A9:H9"/>
    <mergeCell ref="A10:H10"/>
    <mergeCell ref="A11:H11"/>
  </mergeCells>
  <printOptions headings="1"/>
  <pageMargins left="0.7" right="0.7" top="0.75" bottom="0.75" header="0.3" footer="0.3"/>
  <pageSetup paperSize="9" scale="94"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1"/>
  <sheetViews>
    <sheetView showGridLines="0" rightToLeft="1" workbookViewId="0">
      <pane xSplit="14" topLeftCell="O1" activePane="topRight" state="frozen"/>
      <selection activeCell="F12" sqref="F12"/>
      <selection pane="topRight" sqref="A1:N1"/>
    </sheetView>
  </sheetViews>
  <sheetFormatPr defaultColWidth="10.6640625" defaultRowHeight="35.1" customHeight="1"/>
  <cols>
    <col min="1" max="1" width="7.6640625" style="35" customWidth="1"/>
    <col min="2" max="2" width="27.5" style="35" customWidth="1"/>
    <col min="3" max="3" width="13.1640625" style="35" customWidth="1"/>
    <col min="4" max="4" width="13.1640625" style="52" customWidth="1"/>
    <col min="5" max="13" width="10.1640625" style="52" customWidth="1"/>
    <col min="14" max="14" width="10.6640625" style="53" customWidth="1"/>
    <col min="15" max="18" width="8.6640625" style="32" customWidth="1"/>
    <col min="19" max="19" width="8.6640625" style="33" customWidth="1"/>
    <col min="20" max="20" width="13.33203125" style="34" customWidth="1"/>
    <col min="21" max="21" width="10.6640625" style="33"/>
    <col min="22" max="16384" width="10.6640625" style="35"/>
  </cols>
  <sheetData>
    <row r="1" spans="1:21" ht="42" customHeight="1">
      <c r="A1" s="445" t="s">
        <v>111</v>
      </c>
      <c r="B1" s="445"/>
      <c r="C1" s="445"/>
      <c r="D1" s="445"/>
      <c r="E1" s="445"/>
      <c r="F1" s="445"/>
      <c r="G1" s="445"/>
      <c r="H1" s="445"/>
      <c r="I1" s="445"/>
      <c r="J1" s="445"/>
      <c r="K1" s="445"/>
      <c r="L1" s="445"/>
      <c r="M1" s="445"/>
      <c r="N1" s="445"/>
    </row>
    <row r="2" spans="1:21" s="38" customFormat="1" ht="25.5" customHeight="1">
      <c r="A2" s="374" t="s">
        <v>0</v>
      </c>
      <c r="B2" s="374" t="s">
        <v>11</v>
      </c>
      <c r="C2" s="374" t="s">
        <v>102</v>
      </c>
      <c r="D2" s="375" t="s">
        <v>103</v>
      </c>
      <c r="E2" s="375" t="s">
        <v>104</v>
      </c>
      <c r="F2" s="375"/>
      <c r="G2" s="375"/>
      <c r="H2" s="375"/>
      <c r="I2" s="375"/>
      <c r="J2" s="375" t="s">
        <v>105</v>
      </c>
      <c r="K2" s="375"/>
      <c r="L2" s="375"/>
      <c r="M2" s="375"/>
      <c r="N2" s="375"/>
      <c r="O2" s="32"/>
      <c r="P2" s="32"/>
      <c r="Q2" s="32"/>
      <c r="R2" s="32"/>
      <c r="S2" s="36"/>
      <c r="T2" s="37"/>
      <c r="U2" s="36"/>
    </row>
    <row r="3" spans="1:21" s="38" customFormat="1" ht="20.100000000000001" customHeight="1">
      <c r="A3" s="374"/>
      <c r="B3" s="374"/>
      <c r="C3" s="374"/>
      <c r="D3" s="375"/>
      <c r="E3" s="375" t="s">
        <v>106</v>
      </c>
      <c r="F3" s="375"/>
      <c r="G3" s="410">
        <v>1397</v>
      </c>
      <c r="H3" s="410">
        <v>1398</v>
      </c>
      <c r="I3" s="410">
        <v>1399</v>
      </c>
      <c r="J3" s="410">
        <v>1400</v>
      </c>
      <c r="K3" s="410">
        <v>1401</v>
      </c>
      <c r="L3" s="410">
        <v>1402</v>
      </c>
      <c r="M3" s="410">
        <v>1403</v>
      </c>
      <c r="N3" s="410">
        <v>1404</v>
      </c>
      <c r="O3" s="32"/>
      <c r="P3" s="32"/>
      <c r="Q3" s="32"/>
      <c r="R3" s="32"/>
      <c r="S3" s="36"/>
      <c r="T3" s="37"/>
      <c r="U3" s="36"/>
    </row>
    <row r="4" spans="1:21" s="76" customFormat="1" ht="21.75" customHeight="1">
      <c r="A4" s="374"/>
      <c r="B4" s="374"/>
      <c r="C4" s="374"/>
      <c r="D4" s="375"/>
      <c r="E4" s="251">
        <v>1395</v>
      </c>
      <c r="F4" s="251">
        <v>1396</v>
      </c>
      <c r="G4" s="410"/>
      <c r="H4" s="410"/>
      <c r="I4" s="410"/>
      <c r="J4" s="410"/>
      <c r="K4" s="410"/>
      <c r="L4" s="410"/>
      <c r="M4" s="410"/>
      <c r="N4" s="410"/>
      <c r="O4" s="72"/>
      <c r="P4" s="72"/>
      <c r="Q4" s="73"/>
      <c r="R4" s="72"/>
      <c r="S4" s="74"/>
      <c r="T4" s="75"/>
      <c r="U4" s="74"/>
    </row>
    <row r="5" spans="1:21" s="76" customFormat="1" ht="30" customHeight="1">
      <c r="A5" s="252">
        <v>1</v>
      </c>
      <c r="B5" s="205" t="s">
        <v>14</v>
      </c>
      <c r="C5" s="206">
        <f>($A$200+$B$200)*'[20]نرخ تسهیم'!P3</f>
        <v>13682.760441043847</v>
      </c>
      <c r="D5" s="207">
        <f>C5*1.05</f>
        <v>14366.89846309604</v>
      </c>
      <c r="E5" s="207">
        <f t="shared" ref="E5:N5" si="0">D5*1.05</f>
        <v>15085.243386250842</v>
      </c>
      <c r="F5" s="207">
        <f t="shared" si="0"/>
        <v>15839.505555563384</v>
      </c>
      <c r="G5" s="207">
        <f t="shared" si="0"/>
        <v>16631.480833341553</v>
      </c>
      <c r="H5" s="207">
        <f t="shared" si="0"/>
        <v>17463.054875008631</v>
      </c>
      <c r="I5" s="207">
        <f t="shared" si="0"/>
        <v>18336.207618759065</v>
      </c>
      <c r="J5" s="207">
        <f t="shared" si="0"/>
        <v>19253.017999697018</v>
      </c>
      <c r="K5" s="207">
        <f t="shared" si="0"/>
        <v>20215.66889968187</v>
      </c>
      <c r="L5" s="207">
        <f t="shared" si="0"/>
        <v>21226.452344665966</v>
      </c>
      <c r="M5" s="207">
        <f t="shared" si="0"/>
        <v>22287.774961899264</v>
      </c>
      <c r="N5" s="207">
        <f t="shared" si="0"/>
        <v>23402.163709994227</v>
      </c>
      <c r="O5" s="72"/>
      <c r="P5" s="72"/>
      <c r="Q5" s="73"/>
      <c r="R5" s="73"/>
      <c r="S5" s="73"/>
      <c r="T5" s="75"/>
      <c r="U5" s="74"/>
    </row>
    <row r="6" spans="1:21" s="76" customFormat="1" ht="30" customHeight="1">
      <c r="A6" s="252">
        <v>2</v>
      </c>
      <c r="B6" s="205" t="s">
        <v>15</v>
      </c>
      <c r="C6" s="206">
        <f>($A$200+$B$200)*'[20]نرخ تسهیم'!P4</f>
        <v>13611.064073589821</v>
      </c>
      <c r="D6" s="207">
        <f t="shared" ref="D6:N21" si="1">C6*1.05</f>
        <v>14291.617277269313</v>
      </c>
      <c r="E6" s="207">
        <f t="shared" si="1"/>
        <v>15006.19814113278</v>
      </c>
      <c r="F6" s="207">
        <f t="shared" si="1"/>
        <v>15756.50804818942</v>
      </c>
      <c r="G6" s="207">
        <f t="shared" si="1"/>
        <v>16544.333450598893</v>
      </c>
      <c r="H6" s="207">
        <f t="shared" si="1"/>
        <v>17371.55012312884</v>
      </c>
      <c r="I6" s="207">
        <f t="shared" si="1"/>
        <v>18240.127629285282</v>
      </c>
      <c r="J6" s="207">
        <f t="shared" si="1"/>
        <v>19152.134010749545</v>
      </c>
      <c r="K6" s="207">
        <f t="shared" si="1"/>
        <v>20109.740711287024</v>
      </c>
      <c r="L6" s="207">
        <f t="shared" si="1"/>
        <v>21115.227746851375</v>
      </c>
      <c r="M6" s="207">
        <f t="shared" si="1"/>
        <v>22170.989134193944</v>
      </c>
      <c r="N6" s="207">
        <f t="shared" si="1"/>
        <v>23279.538590903641</v>
      </c>
      <c r="O6" s="72"/>
      <c r="P6" s="72"/>
      <c r="Q6" s="73"/>
      <c r="R6" s="73"/>
      <c r="S6" s="73"/>
      <c r="T6" s="75"/>
      <c r="U6" s="74"/>
    </row>
    <row r="7" spans="1:21" s="76" customFormat="1" ht="30" customHeight="1">
      <c r="A7" s="252">
        <v>3</v>
      </c>
      <c r="B7" s="205" t="s">
        <v>16</v>
      </c>
      <c r="C7" s="206">
        <f>($A$200+$B$200)*'[20]نرخ تسهیم'!P5</f>
        <v>9197.4716745252063</v>
      </c>
      <c r="D7" s="207">
        <f t="shared" si="1"/>
        <v>9657.3452582514674</v>
      </c>
      <c r="E7" s="207">
        <f t="shared" si="1"/>
        <v>10140.212521164041</v>
      </c>
      <c r="F7" s="207">
        <f t="shared" si="1"/>
        <v>10647.223147222245</v>
      </c>
      <c r="G7" s="207">
        <f t="shared" si="1"/>
        <v>11179.584304583357</v>
      </c>
      <c r="H7" s="207">
        <f t="shared" si="1"/>
        <v>11738.563519812526</v>
      </c>
      <c r="I7" s="207">
        <f t="shared" si="1"/>
        <v>12325.491695803152</v>
      </c>
      <c r="J7" s="207">
        <f t="shared" si="1"/>
        <v>12941.766280593311</v>
      </c>
      <c r="K7" s="207">
        <f t="shared" si="1"/>
        <v>13588.854594622977</v>
      </c>
      <c r="L7" s="207">
        <f t="shared" si="1"/>
        <v>14268.297324354126</v>
      </c>
      <c r="M7" s="207">
        <f t="shared" si="1"/>
        <v>14981.712190571832</v>
      </c>
      <c r="N7" s="207">
        <f t="shared" si="1"/>
        <v>15730.797800100425</v>
      </c>
      <c r="O7" s="72"/>
      <c r="P7" s="72"/>
      <c r="Q7" s="73"/>
      <c r="R7" s="73"/>
      <c r="S7" s="73"/>
      <c r="T7" s="75"/>
      <c r="U7" s="74"/>
    </row>
    <row r="8" spans="1:21" s="76" customFormat="1" ht="30" customHeight="1">
      <c r="A8" s="252">
        <v>4</v>
      </c>
      <c r="B8" s="205" t="s">
        <v>17</v>
      </c>
      <c r="C8" s="206">
        <f>($A$200+$B$200)*'[20]نرخ تسهیم'!P6</f>
        <v>12182.846500416761</v>
      </c>
      <c r="D8" s="207">
        <f t="shared" si="1"/>
        <v>12791.9888254376</v>
      </c>
      <c r="E8" s="207">
        <f t="shared" si="1"/>
        <v>13431.588266709481</v>
      </c>
      <c r="F8" s="207">
        <f t="shared" si="1"/>
        <v>14103.167680044955</v>
      </c>
      <c r="G8" s="207">
        <f t="shared" si="1"/>
        <v>14808.326064047204</v>
      </c>
      <c r="H8" s="207">
        <f t="shared" si="1"/>
        <v>15548.742367249564</v>
      </c>
      <c r="I8" s="207">
        <f t="shared" si="1"/>
        <v>16326.179485612043</v>
      </c>
      <c r="J8" s="207">
        <f t="shared" si="1"/>
        <v>17142.488459892647</v>
      </c>
      <c r="K8" s="207">
        <f t="shared" si="1"/>
        <v>17999.612882887279</v>
      </c>
      <c r="L8" s="207">
        <f t="shared" si="1"/>
        <v>18899.593527031644</v>
      </c>
      <c r="M8" s="207">
        <f t="shared" si="1"/>
        <v>19844.573203383228</v>
      </c>
      <c r="N8" s="207">
        <f t="shared" si="1"/>
        <v>20836.801863552391</v>
      </c>
      <c r="O8" s="72"/>
      <c r="P8" s="72"/>
      <c r="Q8" s="73"/>
      <c r="R8" s="73"/>
      <c r="S8" s="73"/>
      <c r="T8" s="75"/>
      <c r="U8" s="74"/>
    </row>
    <row r="9" spans="1:21" s="76" customFormat="1" ht="30" customHeight="1">
      <c r="A9" s="252">
        <v>5</v>
      </c>
      <c r="B9" s="205" t="s">
        <v>18</v>
      </c>
      <c r="C9" s="206">
        <f>($A$200+$B$200)*'[20]نرخ تسهیم'!P7</f>
        <v>4188.1146564196324</v>
      </c>
      <c r="D9" s="207">
        <f t="shared" si="1"/>
        <v>4397.5203892406143</v>
      </c>
      <c r="E9" s="207">
        <f t="shared" si="1"/>
        <v>4617.3964087026452</v>
      </c>
      <c r="F9" s="207">
        <f t="shared" si="1"/>
        <v>4848.2662291377774</v>
      </c>
      <c r="G9" s="207">
        <f t="shared" si="1"/>
        <v>5090.6795405946668</v>
      </c>
      <c r="H9" s="207">
        <f t="shared" si="1"/>
        <v>5345.2135176244001</v>
      </c>
      <c r="I9" s="207">
        <f t="shared" si="1"/>
        <v>5612.47419350562</v>
      </c>
      <c r="J9" s="207">
        <f t="shared" si="1"/>
        <v>5893.0979031809011</v>
      </c>
      <c r="K9" s="207">
        <f t="shared" si="1"/>
        <v>6187.7527983399468</v>
      </c>
      <c r="L9" s="207">
        <f t="shared" si="1"/>
        <v>6497.1404382569444</v>
      </c>
      <c r="M9" s="207">
        <f t="shared" si="1"/>
        <v>6821.9974601697922</v>
      </c>
      <c r="N9" s="207">
        <f t="shared" si="1"/>
        <v>7163.0973331782825</v>
      </c>
      <c r="O9" s="72"/>
      <c r="P9" s="72"/>
      <c r="Q9" s="73"/>
      <c r="R9" s="73"/>
      <c r="S9" s="73"/>
      <c r="T9" s="75"/>
      <c r="U9" s="74"/>
    </row>
    <row r="10" spans="1:21" s="76" customFormat="1" ht="30" customHeight="1">
      <c r="A10" s="252">
        <v>6</v>
      </c>
      <c r="B10" s="205" t="s">
        <v>19</v>
      </c>
      <c r="C10" s="206">
        <f>($A$200+$B$200)*'[20]نرخ تسهیم'!P8</f>
        <v>5863.1127584275619</v>
      </c>
      <c r="D10" s="207">
        <f t="shared" si="1"/>
        <v>6156.2683963489399</v>
      </c>
      <c r="E10" s="207">
        <f t="shared" si="1"/>
        <v>6464.0818161663874</v>
      </c>
      <c r="F10" s="207">
        <f t="shared" si="1"/>
        <v>6787.2859069747074</v>
      </c>
      <c r="G10" s="207">
        <f t="shared" si="1"/>
        <v>7126.6502023234434</v>
      </c>
      <c r="H10" s="207">
        <f t="shared" si="1"/>
        <v>7482.9827124396161</v>
      </c>
      <c r="I10" s="207">
        <f t="shared" si="1"/>
        <v>7857.1318480615973</v>
      </c>
      <c r="J10" s="207">
        <f t="shared" si="1"/>
        <v>8249.9884404646782</v>
      </c>
      <c r="K10" s="207">
        <f t="shared" si="1"/>
        <v>8662.4878624879129</v>
      </c>
      <c r="L10" s="207">
        <f t="shared" si="1"/>
        <v>9095.6122556123082</v>
      </c>
      <c r="M10" s="207">
        <f t="shared" si="1"/>
        <v>9550.3928683929244</v>
      </c>
      <c r="N10" s="207">
        <f t="shared" si="1"/>
        <v>10027.91251181257</v>
      </c>
      <c r="O10" s="72"/>
      <c r="P10" s="72"/>
      <c r="Q10" s="73"/>
      <c r="R10" s="73"/>
      <c r="S10" s="73"/>
      <c r="T10" s="75"/>
      <c r="U10" s="74"/>
    </row>
    <row r="11" spans="1:21" s="76" customFormat="1" ht="30" customHeight="1">
      <c r="A11" s="252">
        <v>7</v>
      </c>
      <c r="B11" s="205" t="s">
        <v>20</v>
      </c>
      <c r="C11" s="206">
        <f>($A$200+$B$200)*'[20]نرخ تسهیم'!P9</f>
        <v>2253.0798257800034</v>
      </c>
      <c r="D11" s="207">
        <f t="shared" si="1"/>
        <v>2365.7338170690036</v>
      </c>
      <c r="E11" s="207">
        <f t="shared" si="1"/>
        <v>2484.0205079224538</v>
      </c>
      <c r="F11" s="207">
        <f t="shared" si="1"/>
        <v>2608.2215333185768</v>
      </c>
      <c r="G11" s="207">
        <f t="shared" si="1"/>
        <v>2738.632609984506</v>
      </c>
      <c r="H11" s="207">
        <f t="shared" si="1"/>
        <v>2875.5642404837313</v>
      </c>
      <c r="I11" s="207">
        <f t="shared" si="1"/>
        <v>3019.3424525079181</v>
      </c>
      <c r="J11" s="207">
        <f t="shared" si="1"/>
        <v>3170.309575133314</v>
      </c>
      <c r="K11" s="207">
        <f t="shared" si="1"/>
        <v>3328.8250538899797</v>
      </c>
      <c r="L11" s="207">
        <f t="shared" si="1"/>
        <v>3495.266306584479</v>
      </c>
      <c r="M11" s="207">
        <f t="shared" si="1"/>
        <v>3670.0296219137031</v>
      </c>
      <c r="N11" s="207">
        <f t="shared" si="1"/>
        <v>3853.5311030093885</v>
      </c>
      <c r="O11" s="72">
        <f>(((C11*1)+(D11*6)+(E11*1)+(F11*1)+(G11*6)+(H11*6)+(I11*1)+(J11*1.2)+(K11*0.2)+(L11*6)+(M11*1)+(N11*0.1))/100)*1.3</f>
        <v>1140.6377501663546</v>
      </c>
      <c r="P11" s="72"/>
      <c r="Q11" s="73"/>
      <c r="R11" s="73"/>
      <c r="S11" s="73"/>
      <c r="T11" s="75"/>
      <c r="U11" s="74"/>
    </row>
    <row r="12" spans="1:21" s="76" customFormat="1" ht="30" customHeight="1">
      <c r="A12" s="252">
        <v>8</v>
      </c>
      <c r="B12" s="205" t="s">
        <v>21</v>
      </c>
      <c r="C12" s="206">
        <f>($A$200+$B$200)*'[20]نرخ تسهیم'!P10</f>
        <v>13624.407954757415</v>
      </c>
      <c r="D12" s="207">
        <f t="shared" si="1"/>
        <v>14305.628352495287</v>
      </c>
      <c r="E12" s="207">
        <f t="shared" si="1"/>
        <v>15020.909770120052</v>
      </c>
      <c r="F12" s="207">
        <f t="shared" si="1"/>
        <v>15771.955258626054</v>
      </c>
      <c r="G12" s="207">
        <f t="shared" si="1"/>
        <v>16560.553021557356</v>
      </c>
      <c r="H12" s="207">
        <f t="shared" si="1"/>
        <v>17388.580672635224</v>
      </c>
      <c r="I12" s="207">
        <f t="shared" si="1"/>
        <v>18258.009706266985</v>
      </c>
      <c r="J12" s="207">
        <f t="shared" si="1"/>
        <v>19170.910191580333</v>
      </c>
      <c r="K12" s="207">
        <f t="shared" si="1"/>
        <v>20129.45570115935</v>
      </c>
      <c r="L12" s="207">
        <f t="shared" si="1"/>
        <v>21135.928486217319</v>
      </c>
      <c r="M12" s="207">
        <f t="shared" si="1"/>
        <v>22192.724910528184</v>
      </c>
      <c r="N12" s="207">
        <f t="shared" si="1"/>
        <v>23302.361156054594</v>
      </c>
      <c r="O12" s="72"/>
      <c r="P12" s="72"/>
      <c r="Q12" s="73"/>
      <c r="R12" s="73"/>
      <c r="S12" s="73"/>
      <c r="T12" s="75"/>
      <c r="U12" s="74"/>
    </row>
    <row r="13" spans="1:21" s="76" customFormat="1" ht="30" customHeight="1">
      <c r="A13" s="252">
        <v>9</v>
      </c>
      <c r="B13" s="205" t="s">
        <v>22</v>
      </c>
      <c r="C13" s="206">
        <f>($A$200+$B$200)*'[20]نرخ تسهیم'!P11</f>
        <v>5376.3474439415295</v>
      </c>
      <c r="D13" s="207">
        <f t="shared" si="1"/>
        <v>5645.1648161386065</v>
      </c>
      <c r="E13" s="207">
        <f t="shared" si="1"/>
        <v>5927.4230569455367</v>
      </c>
      <c r="F13" s="207">
        <f t="shared" si="1"/>
        <v>6223.7942097928135</v>
      </c>
      <c r="G13" s="207">
        <f t="shared" si="1"/>
        <v>6534.9839202824542</v>
      </c>
      <c r="H13" s="207">
        <f t="shared" si="1"/>
        <v>6861.7331162965775</v>
      </c>
      <c r="I13" s="207">
        <f t="shared" si="1"/>
        <v>7204.8197721114066</v>
      </c>
      <c r="J13" s="207">
        <f t="shared" si="1"/>
        <v>7565.0607607169768</v>
      </c>
      <c r="K13" s="207">
        <f t="shared" si="1"/>
        <v>7943.3137987528262</v>
      </c>
      <c r="L13" s="207">
        <f t="shared" si="1"/>
        <v>8340.4794886904674</v>
      </c>
      <c r="M13" s="207">
        <f t="shared" si="1"/>
        <v>8757.503463124991</v>
      </c>
      <c r="N13" s="207">
        <f t="shared" si="1"/>
        <v>9195.3786362812407</v>
      </c>
      <c r="O13" s="72">
        <f>(((C13*1)+(D13*6)+(E13*1)+(F13*1)+(G13*6)+(H13*6)+(I13*1)+(J13*1.2)+(K13*0.2)+(L13*6)+(M13*1)+(N13*0.1))/100)*1.3</f>
        <v>2721.8142838978511</v>
      </c>
      <c r="P13" s="72"/>
      <c r="Q13" s="73"/>
      <c r="R13" s="73"/>
      <c r="S13" s="73"/>
      <c r="T13" s="75"/>
      <c r="U13" s="74"/>
    </row>
    <row r="14" spans="1:21" s="76" customFormat="1" ht="30" customHeight="1">
      <c r="A14" s="252">
        <v>10</v>
      </c>
      <c r="B14" s="205" t="s">
        <v>23</v>
      </c>
      <c r="C14" s="206">
        <f>($A$200+$B$200)*'[20]نرخ تسهیم'!P12</f>
        <v>8890.7661236349832</v>
      </c>
      <c r="D14" s="207">
        <f t="shared" si="1"/>
        <v>9335.3044298167333</v>
      </c>
      <c r="E14" s="207">
        <f t="shared" si="1"/>
        <v>9802.0696513075709</v>
      </c>
      <c r="F14" s="207">
        <f t="shared" si="1"/>
        <v>10292.17313387295</v>
      </c>
      <c r="G14" s="207">
        <f t="shared" si="1"/>
        <v>10806.781790566598</v>
      </c>
      <c r="H14" s="207">
        <f t="shared" si="1"/>
        <v>11347.120880094928</v>
      </c>
      <c r="I14" s="207">
        <f t="shared" si="1"/>
        <v>11914.476924099676</v>
      </c>
      <c r="J14" s="207">
        <f t="shared" si="1"/>
        <v>12510.20077030466</v>
      </c>
      <c r="K14" s="207">
        <f t="shared" si="1"/>
        <v>13135.710808819893</v>
      </c>
      <c r="L14" s="207">
        <f t="shared" si="1"/>
        <v>13792.496349260888</v>
      </c>
      <c r="M14" s="207">
        <f t="shared" si="1"/>
        <v>14482.121166723933</v>
      </c>
      <c r="N14" s="207">
        <f t="shared" si="1"/>
        <v>15206.227225060131</v>
      </c>
      <c r="O14" s="72"/>
      <c r="P14" s="72"/>
      <c r="Q14" s="73"/>
      <c r="R14" s="73"/>
      <c r="S14" s="73"/>
      <c r="T14" s="75"/>
      <c r="U14" s="74"/>
    </row>
    <row r="15" spans="1:21" s="76" customFormat="1" ht="30" customHeight="1">
      <c r="A15" s="252">
        <v>11</v>
      </c>
      <c r="B15" s="205" t="s">
        <v>24</v>
      </c>
      <c r="C15" s="206">
        <f>($A$200+$B$200)*'[20]نرخ تسهیم'!P13</f>
        <v>4590.8267445805104</v>
      </c>
      <c r="D15" s="207">
        <f t="shared" si="1"/>
        <v>4820.3680818095363</v>
      </c>
      <c r="E15" s="207">
        <f t="shared" si="1"/>
        <v>5061.3864859000132</v>
      </c>
      <c r="F15" s="207">
        <f t="shared" si="1"/>
        <v>5314.4558101950142</v>
      </c>
      <c r="G15" s="207">
        <f t="shared" si="1"/>
        <v>5580.1786007047649</v>
      </c>
      <c r="H15" s="207">
        <f t="shared" si="1"/>
        <v>5859.1875307400032</v>
      </c>
      <c r="I15" s="207">
        <f t="shared" si="1"/>
        <v>6152.1469072770033</v>
      </c>
      <c r="J15" s="207">
        <f t="shared" si="1"/>
        <v>6459.7542526408533</v>
      </c>
      <c r="K15" s="207">
        <f t="shared" si="1"/>
        <v>6782.7419652728959</v>
      </c>
      <c r="L15" s="207">
        <f t="shared" si="1"/>
        <v>7121.8790635365413</v>
      </c>
      <c r="M15" s="207">
        <f t="shared" si="1"/>
        <v>7477.9730167133685</v>
      </c>
      <c r="N15" s="207">
        <f t="shared" si="1"/>
        <v>7851.8716675490368</v>
      </c>
      <c r="O15" s="72">
        <f>(((C15*1)+(D15*6)+(E15*1)+(F15*1)+(G15*6)+(H15*6)+(I15*1)+(J15*1.2)+(K15*0.2)+(L15*6)+(M15*1)+(N15*0.1))/100)*1.3</f>
        <v>2324.1388207490636</v>
      </c>
      <c r="P15" s="72"/>
      <c r="Q15" s="73"/>
      <c r="R15" s="73"/>
      <c r="S15" s="73"/>
      <c r="T15" s="75"/>
      <c r="U15" s="74"/>
    </row>
    <row r="16" spans="1:21" s="76" customFormat="1" ht="30" customHeight="1">
      <c r="A16" s="252">
        <v>12</v>
      </c>
      <c r="B16" s="205" t="s">
        <v>25</v>
      </c>
      <c r="C16" s="206">
        <f>($A$200+$B$200)*'[20]نرخ تسهیم'!P14</f>
        <v>26940.530346149644</v>
      </c>
      <c r="D16" s="207">
        <f t="shared" si="1"/>
        <v>28287.556863457128</v>
      </c>
      <c r="E16" s="207">
        <f t="shared" si="1"/>
        <v>29701.934706629985</v>
      </c>
      <c r="F16" s="207">
        <f t="shared" si="1"/>
        <v>31187.031441961484</v>
      </c>
      <c r="G16" s="207">
        <f t="shared" si="1"/>
        <v>32746.38301405956</v>
      </c>
      <c r="H16" s="207">
        <f t="shared" si="1"/>
        <v>34383.702164762537</v>
      </c>
      <c r="I16" s="207">
        <f t="shared" si="1"/>
        <v>36102.887273000662</v>
      </c>
      <c r="J16" s="207">
        <f t="shared" si="1"/>
        <v>37908.031636650696</v>
      </c>
      <c r="K16" s="207">
        <f t="shared" si="1"/>
        <v>39803.433218483231</v>
      </c>
      <c r="L16" s="207">
        <f t="shared" si="1"/>
        <v>41793.604879407394</v>
      </c>
      <c r="M16" s="207">
        <f t="shared" si="1"/>
        <v>43883.285123377769</v>
      </c>
      <c r="N16" s="207">
        <f t="shared" si="1"/>
        <v>46077.449379546662</v>
      </c>
      <c r="O16" s="72"/>
      <c r="P16" s="72"/>
      <c r="Q16" s="73"/>
      <c r="R16" s="73"/>
      <c r="S16" s="73"/>
      <c r="T16" s="75"/>
      <c r="U16" s="74"/>
    </row>
    <row r="17" spans="1:21" s="76" customFormat="1" ht="30" customHeight="1">
      <c r="A17" s="252">
        <v>13</v>
      </c>
      <c r="B17" s="205" t="s">
        <v>26</v>
      </c>
      <c r="C17" s="206">
        <f>($A$200+$B$200)*'[20]نرخ تسهیم'!P15</f>
        <v>7239.4428656310201</v>
      </c>
      <c r="D17" s="207">
        <f t="shared" si="1"/>
        <v>7601.4150089125715</v>
      </c>
      <c r="E17" s="207">
        <f t="shared" si="1"/>
        <v>7981.4857593582001</v>
      </c>
      <c r="F17" s="207">
        <f t="shared" si="1"/>
        <v>8380.5600473261111</v>
      </c>
      <c r="G17" s="207">
        <f t="shared" si="1"/>
        <v>8799.5880496924165</v>
      </c>
      <c r="H17" s="207">
        <f t="shared" si="1"/>
        <v>9239.5674521770379</v>
      </c>
      <c r="I17" s="207">
        <f t="shared" si="1"/>
        <v>9701.5458247858896</v>
      </c>
      <c r="J17" s="207">
        <f t="shared" si="1"/>
        <v>10186.623116025185</v>
      </c>
      <c r="K17" s="207">
        <f t="shared" si="1"/>
        <v>10695.954271826444</v>
      </c>
      <c r="L17" s="207">
        <f t="shared" si="1"/>
        <v>11230.751985417766</v>
      </c>
      <c r="M17" s="207">
        <f t="shared" si="1"/>
        <v>11792.289584688655</v>
      </c>
      <c r="N17" s="207">
        <f t="shared" si="1"/>
        <v>12381.904063923088</v>
      </c>
      <c r="O17" s="72"/>
      <c r="P17" s="72"/>
      <c r="Q17" s="73"/>
      <c r="R17" s="73"/>
      <c r="S17" s="73"/>
      <c r="T17" s="75"/>
      <c r="U17" s="74"/>
    </row>
    <row r="18" spans="1:21" s="76" customFormat="1" ht="30" customHeight="1">
      <c r="A18" s="252">
        <v>14</v>
      </c>
      <c r="B18" s="205" t="s">
        <v>27</v>
      </c>
      <c r="C18" s="206">
        <f>($A$200+$B$200)*'[20]نرخ تسهیم'!P16</f>
        <v>9708.8988553116615</v>
      </c>
      <c r="D18" s="207">
        <f t="shared" si="1"/>
        <v>10194.343798077245</v>
      </c>
      <c r="E18" s="207">
        <f t="shared" si="1"/>
        <v>10704.060987981107</v>
      </c>
      <c r="F18" s="207">
        <f t="shared" si="1"/>
        <v>11239.264037380162</v>
      </c>
      <c r="G18" s="207">
        <f t="shared" si="1"/>
        <v>11801.22723924917</v>
      </c>
      <c r="H18" s="207">
        <f t="shared" si="1"/>
        <v>12391.288601211629</v>
      </c>
      <c r="I18" s="207">
        <f t="shared" si="1"/>
        <v>13010.853031272211</v>
      </c>
      <c r="J18" s="207">
        <f t="shared" si="1"/>
        <v>13661.395682835822</v>
      </c>
      <c r="K18" s="207">
        <f t="shared" si="1"/>
        <v>14344.465466977614</v>
      </c>
      <c r="L18" s="207">
        <f t="shared" si="1"/>
        <v>15061.688740326495</v>
      </c>
      <c r="M18" s="207">
        <f t="shared" si="1"/>
        <v>15814.77317734282</v>
      </c>
      <c r="N18" s="207">
        <f t="shared" si="1"/>
        <v>16605.511836209964</v>
      </c>
      <c r="O18" s="72"/>
      <c r="P18" s="72"/>
      <c r="Q18" s="73"/>
      <c r="R18" s="73"/>
      <c r="S18" s="73"/>
      <c r="T18" s="75"/>
      <c r="U18" s="74"/>
    </row>
    <row r="19" spans="1:21" s="76" customFormat="1" ht="30" customHeight="1">
      <c r="A19" s="252">
        <v>15</v>
      </c>
      <c r="B19" s="205" t="s">
        <v>28</v>
      </c>
      <c r="C19" s="206">
        <f>($A$200+$B$200)*'[20]نرخ تسهیم'!P17</f>
        <v>4478.5164244538282</v>
      </c>
      <c r="D19" s="207">
        <f t="shared" si="1"/>
        <v>4702.4422456765196</v>
      </c>
      <c r="E19" s="207">
        <f t="shared" si="1"/>
        <v>4937.5643579603457</v>
      </c>
      <c r="F19" s="207">
        <f t="shared" si="1"/>
        <v>5184.4425758583629</v>
      </c>
      <c r="G19" s="207">
        <f t="shared" si="1"/>
        <v>5443.6647046512817</v>
      </c>
      <c r="H19" s="207">
        <f t="shared" si="1"/>
        <v>5715.8479398838463</v>
      </c>
      <c r="I19" s="207">
        <f t="shared" si="1"/>
        <v>6001.6403368780384</v>
      </c>
      <c r="J19" s="207">
        <f t="shared" si="1"/>
        <v>6301.7223537219406</v>
      </c>
      <c r="K19" s="207">
        <f t="shared" si="1"/>
        <v>6616.8084714080378</v>
      </c>
      <c r="L19" s="207">
        <f t="shared" si="1"/>
        <v>6947.6488949784398</v>
      </c>
      <c r="M19" s="207">
        <f t="shared" si="1"/>
        <v>7295.0313397273621</v>
      </c>
      <c r="N19" s="207">
        <f t="shared" si="1"/>
        <v>7659.7829067137309</v>
      </c>
      <c r="O19" s="72"/>
      <c r="P19" s="72"/>
      <c r="Q19" s="73"/>
      <c r="R19" s="73"/>
      <c r="S19" s="73"/>
      <c r="T19" s="75"/>
      <c r="U19" s="74"/>
    </row>
    <row r="20" spans="1:21" s="76" customFormat="1" ht="30" customHeight="1">
      <c r="A20" s="252">
        <v>16</v>
      </c>
      <c r="B20" s="205" t="s">
        <v>29</v>
      </c>
      <c r="C20" s="206">
        <f>($A$200+$B$200)*'[20]نرخ تسهیم'!P18</f>
        <v>6280.1844916756809</v>
      </c>
      <c r="D20" s="207">
        <f t="shared" si="1"/>
        <v>6594.193716259465</v>
      </c>
      <c r="E20" s="207">
        <f t="shared" si="1"/>
        <v>6923.9034020724384</v>
      </c>
      <c r="F20" s="207">
        <f t="shared" si="1"/>
        <v>7270.0985721760608</v>
      </c>
      <c r="G20" s="207">
        <f t="shared" si="1"/>
        <v>7633.6035007848641</v>
      </c>
      <c r="H20" s="207">
        <f t="shared" si="1"/>
        <v>8015.2836758241074</v>
      </c>
      <c r="I20" s="207">
        <f t="shared" si="1"/>
        <v>8416.0478596153134</v>
      </c>
      <c r="J20" s="207">
        <f t="shared" si="1"/>
        <v>8836.8502525960794</v>
      </c>
      <c r="K20" s="207">
        <f t="shared" si="1"/>
        <v>9278.6927652258837</v>
      </c>
      <c r="L20" s="207">
        <f t="shared" si="1"/>
        <v>9742.6274034871785</v>
      </c>
      <c r="M20" s="207">
        <f t="shared" si="1"/>
        <v>10229.758773661539</v>
      </c>
      <c r="N20" s="207">
        <f t="shared" si="1"/>
        <v>10741.246712344617</v>
      </c>
      <c r="O20" s="72"/>
      <c r="P20" s="72"/>
      <c r="Q20" s="73"/>
      <c r="R20" s="73"/>
      <c r="S20" s="73"/>
      <c r="T20" s="75"/>
      <c r="U20" s="74"/>
    </row>
    <row r="21" spans="1:21" s="76" customFormat="1" ht="30" customHeight="1">
      <c r="A21" s="252">
        <v>17</v>
      </c>
      <c r="B21" s="205" t="s">
        <v>30</v>
      </c>
      <c r="C21" s="206">
        <f>($A$200+$B$200)*'[20]نرخ تسهیم'!P19</f>
        <v>3350.0591248666283</v>
      </c>
      <c r="D21" s="207">
        <f t="shared" si="1"/>
        <v>3517.5620811099598</v>
      </c>
      <c r="E21" s="207">
        <f t="shared" si="1"/>
        <v>3693.4401851654579</v>
      </c>
      <c r="F21" s="207">
        <f t="shared" si="1"/>
        <v>3878.1121944237311</v>
      </c>
      <c r="G21" s="207">
        <f t="shared" si="1"/>
        <v>4072.017804144918</v>
      </c>
      <c r="H21" s="207">
        <f t="shared" si="1"/>
        <v>4275.6186943521643</v>
      </c>
      <c r="I21" s="207">
        <f t="shared" si="1"/>
        <v>4489.3996290697723</v>
      </c>
      <c r="J21" s="207">
        <f t="shared" si="1"/>
        <v>4713.8696105232611</v>
      </c>
      <c r="K21" s="207">
        <f t="shared" si="1"/>
        <v>4949.5630910494247</v>
      </c>
      <c r="L21" s="207">
        <f t="shared" si="1"/>
        <v>5197.0412456018958</v>
      </c>
      <c r="M21" s="207">
        <f t="shared" si="1"/>
        <v>5456.8933078819909</v>
      </c>
      <c r="N21" s="207">
        <f t="shared" si="1"/>
        <v>5729.737973276091</v>
      </c>
      <c r="O21" s="72"/>
      <c r="P21" s="72"/>
      <c r="Q21" s="73"/>
      <c r="R21" s="73"/>
      <c r="S21" s="73"/>
      <c r="T21" s="75"/>
      <c r="U21" s="74"/>
    </row>
    <row r="22" spans="1:21" s="76" customFormat="1" ht="30" customHeight="1">
      <c r="A22" s="252">
        <v>18</v>
      </c>
      <c r="B22" s="205" t="s">
        <v>31</v>
      </c>
      <c r="C22" s="206">
        <f>($A$200+$B$200)*'[20]نرخ تسهیم'!P20</f>
        <v>22173.622707884002</v>
      </c>
      <c r="D22" s="207">
        <f t="shared" ref="D22:N36" si="2">C22*1.05</f>
        <v>23282.303843278201</v>
      </c>
      <c r="E22" s="207">
        <f t="shared" si="2"/>
        <v>24446.419035442112</v>
      </c>
      <c r="F22" s="207">
        <f t="shared" si="2"/>
        <v>25668.73998721422</v>
      </c>
      <c r="G22" s="207">
        <f t="shared" si="2"/>
        <v>26952.17698657493</v>
      </c>
      <c r="H22" s="207">
        <f t="shared" si="2"/>
        <v>28299.785835903676</v>
      </c>
      <c r="I22" s="207">
        <f t="shared" si="2"/>
        <v>29714.77512769886</v>
      </c>
      <c r="J22" s="207">
        <f t="shared" si="2"/>
        <v>31200.513884083804</v>
      </c>
      <c r="K22" s="207">
        <f t="shared" si="2"/>
        <v>32760.539578287997</v>
      </c>
      <c r="L22" s="207">
        <f t="shared" si="2"/>
        <v>34398.566557202401</v>
      </c>
      <c r="M22" s="207">
        <f t="shared" si="2"/>
        <v>36118.494885062522</v>
      </c>
      <c r="N22" s="207">
        <f t="shared" si="2"/>
        <v>37924.419629315649</v>
      </c>
      <c r="O22" s="72"/>
      <c r="P22" s="72"/>
      <c r="Q22" s="73"/>
      <c r="R22" s="73"/>
      <c r="S22" s="73"/>
      <c r="T22" s="75"/>
      <c r="U22" s="74"/>
    </row>
    <row r="23" spans="1:21" s="76" customFormat="1" ht="30" customHeight="1">
      <c r="A23" s="252">
        <v>19</v>
      </c>
      <c r="B23" s="205" t="s">
        <v>32</v>
      </c>
      <c r="C23" s="206">
        <f>($A$200+$B$200)*'[20]نرخ تسهیم'!P21</f>
        <v>6071.3283404431741</v>
      </c>
      <c r="D23" s="207">
        <f t="shared" si="2"/>
        <v>6374.894757465333</v>
      </c>
      <c r="E23" s="207">
        <f t="shared" si="2"/>
        <v>6693.6394953385998</v>
      </c>
      <c r="F23" s="207">
        <f t="shared" si="2"/>
        <v>7028.3214701055304</v>
      </c>
      <c r="G23" s="207">
        <f t="shared" si="2"/>
        <v>7379.7375436108068</v>
      </c>
      <c r="H23" s="207">
        <f t="shared" si="2"/>
        <v>7748.7244207913473</v>
      </c>
      <c r="I23" s="207">
        <f t="shared" si="2"/>
        <v>8136.1606418309148</v>
      </c>
      <c r="J23" s="207">
        <f t="shared" si="2"/>
        <v>8542.9686739224617</v>
      </c>
      <c r="K23" s="207">
        <f t="shared" si="2"/>
        <v>8970.1171076185856</v>
      </c>
      <c r="L23" s="207">
        <f t="shared" si="2"/>
        <v>9418.6229629995159</v>
      </c>
      <c r="M23" s="207">
        <f t="shared" si="2"/>
        <v>9889.5541111494913</v>
      </c>
      <c r="N23" s="207">
        <f t="shared" si="2"/>
        <v>10384.031816706965</v>
      </c>
      <c r="O23" s="72"/>
      <c r="P23" s="72"/>
      <c r="Q23" s="73"/>
      <c r="R23" s="73"/>
      <c r="S23" s="73"/>
      <c r="T23" s="75"/>
      <c r="U23" s="74"/>
    </row>
    <row r="24" spans="1:21" s="76" customFormat="1" ht="30" customHeight="1">
      <c r="A24" s="252">
        <v>20</v>
      </c>
      <c r="B24" s="205" t="s">
        <v>33</v>
      </c>
      <c r="C24" s="206">
        <f>($A$200+$B$200)*'[20]نرخ تسهیم'!P22</f>
        <v>4214.0173646213334</v>
      </c>
      <c r="D24" s="207">
        <f t="shared" si="2"/>
        <v>4424.7182328524004</v>
      </c>
      <c r="E24" s="207">
        <f t="shared" si="2"/>
        <v>4645.954144495021</v>
      </c>
      <c r="F24" s="207">
        <f t="shared" si="2"/>
        <v>4878.2518517197723</v>
      </c>
      <c r="G24" s="207">
        <f t="shared" si="2"/>
        <v>5122.1644443057612</v>
      </c>
      <c r="H24" s="207">
        <f t="shared" si="2"/>
        <v>5378.2726665210494</v>
      </c>
      <c r="I24" s="207">
        <f t="shared" si="2"/>
        <v>5647.1862998471024</v>
      </c>
      <c r="J24" s="207">
        <f t="shared" si="2"/>
        <v>5929.5456148394578</v>
      </c>
      <c r="K24" s="207">
        <f t="shared" si="2"/>
        <v>6226.0228955814309</v>
      </c>
      <c r="L24" s="207">
        <f t="shared" si="2"/>
        <v>6537.3240403605032</v>
      </c>
      <c r="M24" s="207">
        <f t="shared" si="2"/>
        <v>6864.1902423785286</v>
      </c>
      <c r="N24" s="207">
        <f t="shared" si="2"/>
        <v>7207.3997544974554</v>
      </c>
      <c r="O24" s="72">
        <f>((((C24*1)+(D24*6)+(E24*1)+(F24*1)+(G24*6)+(H24*6)+(I24*1)+(J24*1.2)+(K24*0.2)+(L24*6)+(M24*1)+(N24*0.1))/100))*1.3</f>
        <v>2133.3763814957547</v>
      </c>
      <c r="P24" s="72"/>
      <c r="Q24" s="73"/>
      <c r="R24" s="73"/>
      <c r="S24" s="73"/>
      <c r="T24" s="75"/>
      <c r="U24" s="74"/>
    </row>
    <row r="25" spans="1:21" s="76" customFormat="1" ht="30" customHeight="1">
      <c r="A25" s="252">
        <v>21</v>
      </c>
      <c r="B25" s="205" t="s">
        <v>34</v>
      </c>
      <c r="C25" s="206">
        <f>($A$200+$B$200)*'[20]نرخ تسهیم'!P23</f>
        <v>4827.5059522643051</v>
      </c>
      <c r="D25" s="207">
        <f t="shared" si="2"/>
        <v>5068.8812498775205</v>
      </c>
      <c r="E25" s="207">
        <f t="shared" si="2"/>
        <v>5322.3253123713966</v>
      </c>
      <c r="F25" s="207">
        <f t="shared" si="2"/>
        <v>5588.4415779899664</v>
      </c>
      <c r="G25" s="207">
        <f t="shared" si="2"/>
        <v>5867.8636568894653</v>
      </c>
      <c r="H25" s="207">
        <f t="shared" si="2"/>
        <v>6161.2568397339392</v>
      </c>
      <c r="I25" s="207">
        <f t="shared" si="2"/>
        <v>6469.3196817206363</v>
      </c>
      <c r="J25" s="207">
        <f t="shared" si="2"/>
        <v>6792.7856658066685</v>
      </c>
      <c r="K25" s="207">
        <f t="shared" si="2"/>
        <v>7132.4249490970024</v>
      </c>
      <c r="L25" s="207">
        <f t="shared" si="2"/>
        <v>7489.0461965518525</v>
      </c>
      <c r="M25" s="207">
        <f t="shared" si="2"/>
        <v>7863.4985063794456</v>
      </c>
      <c r="N25" s="207">
        <f t="shared" si="2"/>
        <v>8256.6734316984184</v>
      </c>
      <c r="O25" s="72"/>
      <c r="P25" s="72"/>
      <c r="Q25" s="73"/>
      <c r="R25" s="73"/>
      <c r="S25" s="73"/>
      <c r="T25" s="75"/>
      <c r="U25" s="74"/>
    </row>
    <row r="26" spans="1:21" s="76" customFormat="1" ht="30" customHeight="1">
      <c r="A26" s="252">
        <v>22</v>
      </c>
      <c r="B26" s="205" t="s">
        <v>35</v>
      </c>
      <c r="C26" s="206">
        <f>($A$200+$B$200)*'[20]نرخ تسهیم'!P24</f>
        <v>7634.5122066247259</v>
      </c>
      <c r="D26" s="207">
        <f t="shared" si="2"/>
        <v>8016.2378169559624</v>
      </c>
      <c r="E26" s="207">
        <f t="shared" si="2"/>
        <v>8417.0497078037606</v>
      </c>
      <c r="F26" s="207">
        <f t="shared" si="2"/>
        <v>8837.9021931939496</v>
      </c>
      <c r="G26" s="207">
        <f t="shared" si="2"/>
        <v>9279.7973028536471</v>
      </c>
      <c r="H26" s="207">
        <f t="shared" si="2"/>
        <v>9743.78716799633</v>
      </c>
      <c r="I26" s="207">
        <f t="shared" si="2"/>
        <v>10230.976526396147</v>
      </c>
      <c r="J26" s="207">
        <f t="shared" si="2"/>
        <v>10742.525352715955</v>
      </c>
      <c r="K26" s="207">
        <f t="shared" si="2"/>
        <v>11279.651620351753</v>
      </c>
      <c r="L26" s="207">
        <f t="shared" si="2"/>
        <v>11843.634201369341</v>
      </c>
      <c r="M26" s="207">
        <f t="shared" si="2"/>
        <v>12435.815911437809</v>
      </c>
      <c r="N26" s="207">
        <f t="shared" si="2"/>
        <v>13057.6067070097</v>
      </c>
      <c r="O26" s="72"/>
      <c r="P26" s="72"/>
      <c r="Q26" s="73"/>
      <c r="R26" s="73"/>
      <c r="S26" s="73"/>
      <c r="T26" s="75"/>
      <c r="U26" s="74"/>
    </row>
    <row r="27" spans="1:21" s="76" customFormat="1" ht="30" customHeight="1">
      <c r="A27" s="252">
        <v>23</v>
      </c>
      <c r="B27" s="205" t="s">
        <v>36</v>
      </c>
      <c r="C27" s="206">
        <f>($A$200+$B$200)*'[20]نرخ تسهیم'!P25</f>
        <v>12118.067348344452</v>
      </c>
      <c r="D27" s="207">
        <f t="shared" si="2"/>
        <v>12723.970715761674</v>
      </c>
      <c r="E27" s="207">
        <f t="shared" si="2"/>
        <v>13360.169251549758</v>
      </c>
      <c r="F27" s="207">
        <f t="shared" si="2"/>
        <v>14028.177714127247</v>
      </c>
      <c r="G27" s="207">
        <f t="shared" si="2"/>
        <v>14729.58659983361</v>
      </c>
      <c r="H27" s="207">
        <f t="shared" si="2"/>
        <v>15466.065929825292</v>
      </c>
      <c r="I27" s="207">
        <f t="shared" si="2"/>
        <v>16239.369226316558</v>
      </c>
      <c r="J27" s="207">
        <f t="shared" si="2"/>
        <v>17051.337687632385</v>
      </c>
      <c r="K27" s="207">
        <f t="shared" si="2"/>
        <v>17903.904572014006</v>
      </c>
      <c r="L27" s="207">
        <f t="shared" si="2"/>
        <v>18799.099800614706</v>
      </c>
      <c r="M27" s="207">
        <f t="shared" si="2"/>
        <v>19739.054790645441</v>
      </c>
      <c r="N27" s="207">
        <f t="shared" si="2"/>
        <v>20726.007530177714</v>
      </c>
      <c r="O27" s="72"/>
      <c r="P27" s="72"/>
      <c r="Q27" s="73"/>
      <c r="R27" s="73"/>
      <c r="S27" s="73"/>
      <c r="T27" s="75"/>
      <c r="U27" s="74"/>
    </row>
    <row r="28" spans="1:21" s="76" customFormat="1" ht="30" customHeight="1">
      <c r="A28" s="252">
        <v>24</v>
      </c>
      <c r="B28" s="205" t="s">
        <v>37</v>
      </c>
      <c r="C28" s="206">
        <f>($A$200+$B$200)*'[20]نرخ تسهیم'!P26</f>
        <v>4005.7261416446836</v>
      </c>
      <c r="D28" s="207">
        <f t="shared" si="2"/>
        <v>4206.0124487269177</v>
      </c>
      <c r="E28" s="207">
        <f t="shared" si="2"/>
        <v>4416.3130711632639</v>
      </c>
      <c r="F28" s="207">
        <f t="shared" si="2"/>
        <v>4637.1287247214277</v>
      </c>
      <c r="G28" s="207">
        <f t="shared" si="2"/>
        <v>4868.9851609574989</v>
      </c>
      <c r="H28" s="207">
        <f t="shared" si="2"/>
        <v>5112.4344190053744</v>
      </c>
      <c r="I28" s="207">
        <f t="shared" si="2"/>
        <v>5368.0561399556436</v>
      </c>
      <c r="J28" s="207">
        <f t="shared" si="2"/>
        <v>5636.4589469534258</v>
      </c>
      <c r="K28" s="207">
        <f t="shared" si="2"/>
        <v>5918.2818943010971</v>
      </c>
      <c r="L28" s="207">
        <f t="shared" si="2"/>
        <v>6214.1959890161525</v>
      </c>
      <c r="M28" s="207">
        <f t="shared" si="2"/>
        <v>6524.9057884669601</v>
      </c>
      <c r="N28" s="207">
        <f t="shared" si="2"/>
        <v>6851.1510778903084</v>
      </c>
      <c r="O28" s="72"/>
      <c r="P28" s="72"/>
      <c r="Q28" s="73"/>
      <c r="R28" s="73"/>
      <c r="S28" s="73"/>
      <c r="T28" s="75"/>
      <c r="U28" s="74"/>
    </row>
    <row r="29" spans="1:21" s="76" customFormat="1" ht="30" customHeight="1">
      <c r="A29" s="252">
        <v>25</v>
      </c>
      <c r="B29" s="205" t="s">
        <v>38</v>
      </c>
      <c r="C29" s="206">
        <f>($A$200+$B$200)*'[20]نرخ تسهیم'!P27</f>
        <v>7186.228818390955</v>
      </c>
      <c r="D29" s="207">
        <f t="shared" si="2"/>
        <v>7545.5402593105027</v>
      </c>
      <c r="E29" s="207">
        <f t="shared" si="2"/>
        <v>7922.8172722760282</v>
      </c>
      <c r="F29" s="207">
        <f t="shared" si="2"/>
        <v>8318.9581358898304</v>
      </c>
      <c r="G29" s="207">
        <f t="shared" si="2"/>
        <v>8734.9060426843225</v>
      </c>
      <c r="H29" s="207">
        <f t="shared" si="2"/>
        <v>9171.6513448185397</v>
      </c>
      <c r="I29" s="207">
        <f t="shared" si="2"/>
        <v>9630.2339120594679</v>
      </c>
      <c r="J29" s="207">
        <f t="shared" si="2"/>
        <v>10111.745607662442</v>
      </c>
      <c r="K29" s="207">
        <f t="shared" si="2"/>
        <v>10617.332888045565</v>
      </c>
      <c r="L29" s="207">
        <f t="shared" si="2"/>
        <v>11148.199532447843</v>
      </c>
      <c r="M29" s="207">
        <f t="shared" si="2"/>
        <v>11705.609509070237</v>
      </c>
      <c r="N29" s="207">
        <f t="shared" si="2"/>
        <v>12290.889984523748</v>
      </c>
      <c r="O29" s="72"/>
      <c r="P29" s="72"/>
      <c r="Q29" s="73"/>
      <c r="R29" s="73"/>
      <c r="S29" s="73"/>
      <c r="T29" s="75"/>
      <c r="U29" s="74"/>
    </row>
    <row r="30" spans="1:21" s="76" customFormat="1" ht="30" customHeight="1">
      <c r="A30" s="252">
        <v>26</v>
      </c>
      <c r="B30" s="205" t="s">
        <v>39</v>
      </c>
      <c r="C30" s="206">
        <f>($A$200+$B$200)*'[20]نرخ تسهیم'!P28</f>
        <v>6437.580514383415</v>
      </c>
      <c r="D30" s="207">
        <f t="shared" si="2"/>
        <v>6759.4595401025863</v>
      </c>
      <c r="E30" s="207">
        <f t="shared" si="2"/>
        <v>7097.4325171077162</v>
      </c>
      <c r="F30" s="207">
        <f t="shared" si="2"/>
        <v>7452.3041429631021</v>
      </c>
      <c r="G30" s="207">
        <f t="shared" si="2"/>
        <v>7824.9193501112577</v>
      </c>
      <c r="H30" s="207">
        <f t="shared" si="2"/>
        <v>8216.1653176168202</v>
      </c>
      <c r="I30" s="207">
        <f t="shared" si="2"/>
        <v>8626.9735834976618</v>
      </c>
      <c r="J30" s="207">
        <f t="shared" si="2"/>
        <v>9058.3222626725455</v>
      </c>
      <c r="K30" s="207">
        <f t="shared" si="2"/>
        <v>9511.2383758061733</v>
      </c>
      <c r="L30" s="207">
        <f t="shared" si="2"/>
        <v>9986.8002945964818</v>
      </c>
      <c r="M30" s="207">
        <f t="shared" si="2"/>
        <v>10486.140309326307</v>
      </c>
      <c r="N30" s="207">
        <f t="shared" si="2"/>
        <v>11010.447324792623</v>
      </c>
      <c r="O30" s="72"/>
      <c r="P30" s="72"/>
      <c r="Q30" s="73"/>
      <c r="R30" s="73"/>
      <c r="S30" s="73"/>
      <c r="T30" s="75"/>
      <c r="U30" s="74"/>
    </row>
    <row r="31" spans="1:21" s="76" customFormat="1" ht="30" customHeight="1">
      <c r="A31" s="252">
        <v>27</v>
      </c>
      <c r="B31" s="205" t="s">
        <v>40</v>
      </c>
      <c r="C31" s="206">
        <f>($A$200+$B$200)*'[20]نرخ تسهیم'!P29</f>
        <v>10958.593856229325</v>
      </c>
      <c r="D31" s="207">
        <f t="shared" si="2"/>
        <v>11506.523549040792</v>
      </c>
      <c r="E31" s="207">
        <f t="shared" si="2"/>
        <v>12081.849726492832</v>
      </c>
      <c r="F31" s="207">
        <f t="shared" si="2"/>
        <v>12685.942212817474</v>
      </c>
      <c r="G31" s="207">
        <f t="shared" si="2"/>
        <v>13320.239323458349</v>
      </c>
      <c r="H31" s="207">
        <f t="shared" si="2"/>
        <v>13986.251289631267</v>
      </c>
      <c r="I31" s="207">
        <f t="shared" si="2"/>
        <v>14685.563854112832</v>
      </c>
      <c r="J31" s="207">
        <f t="shared" si="2"/>
        <v>15419.842046818474</v>
      </c>
      <c r="K31" s="207">
        <f t="shared" si="2"/>
        <v>16190.834149159398</v>
      </c>
      <c r="L31" s="207">
        <f t="shared" si="2"/>
        <v>17000.375856617367</v>
      </c>
      <c r="M31" s="207">
        <f t="shared" si="2"/>
        <v>17850.394649448237</v>
      </c>
      <c r="N31" s="207">
        <f t="shared" si="2"/>
        <v>18742.914381920651</v>
      </c>
      <c r="O31" s="72"/>
      <c r="P31" s="72"/>
      <c r="Q31" s="73"/>
      <c r="R31" s="73"/>
      <c r="S31" s="73"/>
      <c r="T31" s="75"/>
      <c r="U31" s="74"/>
    </row>
    <row r="32" spans="1:21" s="76" customFormat="1" ht="30" customHeight="1">
      <c r="A32" s="252">
        <v>28</v>
      </c>
      <c r="B32" s="205" t="s">
        <v>41</v>
      </c>
      <c r="C32" s="206">
        <f>($A$200+$B$200)*'[20]نرخ تسهیم'!P30</f>
        <v>7145.9072340542161</v>
      </c>
      <c r="D32" s="207">
        <f t="shared" si="2"/>
        <v>7503.2025957569276</v>
      </c>
      <c r="E32" s="207">
        <f t="shared" si="2"/>
        <v>7878.3627255447745</v>
      </c>
      <c r="F32" s="207">
        <f t="shared" si="2"/>
        <v>8272.2808618220133</v>
      </c>
      <c r="G32" s="207">
        <f t="shared" si="2"/>
        <v>8685.8949049131152</v>
      </c>
      <c r="H32" s="207">
        <f t="shared" si="2"/>
        <v>9120.1896501587707</v>
      </c>
      <c r="I32" s="207">
        <f t="shared" si="2"/>
        <v>9576.1991326667103</v>
      </c>
      <c r="J32" s="207">
        <f t="shared" si="2"/>
        <v>10055.009089300047</v>
      </c>
      <c r="K32" s="207">
        <f t="shared" si="2"/>
        <v>10557.759543765049</v>
      </c>
      <c r="L32" s="207">
        <f t="shared" si="2"/>
        <v>11085.647520953302</v>
      </c>
      <c r="M32" s="207">
        <f t="shared" si="2"/>
        <v>11639.929897000968</v>
      </c>
      <c r="N32" s="207">
        <f t="shared" si="2"/>
        <v>12221.926391851017</v>
      </c>
      <c r="O32" s="72"/>
      <c r="P32" s="72"/>
      <c r="Q32" s="73"/>
      <c r="R32" s="73"/>
      <c r="S32" s="73"/>
      <c r="T32" s="75"/>
      <c r="U32" s="74"/>
    </row>
    <row r="33" spans="1:21" s="76" customFormat="1" ht="30" customHeight="1">
      <c r="A33" s="252">
        <v>29</v>
      </c>
      <c r="B33" s="205" t="s">
        <v>42</v>
      </c>
      <c r="C33" s="206">
        <f>($A$200+$B$200)*'[20]نرخ تسهیم'!P31</f>
        <v>5714.9590124777078</v>
      </c>
      <c r="D33" s="207">
        <f t="shared" si="2"/>
        <v>6000.7069631015938</v>
      </c>
      <c r="E33" s="207">
        <f t="shared" si="2"/>
        <v>6300.7423112566739</v>
      </c>
      <c r="F33" s="207">
        <f t="shared" si="2"/>
        <v>6615.7794268195075</v>
      </c>
      <c r="G33" s="207">
        <f t="shared" si="2"/>
        <v>6946.5683981604834</v>
      </c>
      <c r="H33" s="207">
        <f t="shared" si="2"/>
        <v>7293.8968180685079</v>
      </c>
      <c r="I33" s="207">
        <f t="shared" si="2"/>
        <v>7658.5916589719336</v>
      </c>
      <c r="J33" s="207">
        <f t="shared" si="2"/>
        <v>8041.5212419205309</v>
      </c>
      <c r="K33" s="207">
        <f t="shared" si="2"/>
        <v>8443.5973040165572</v>
      </c>
      <c r="L33" s="207">
        <f t="shared" si="2"/>
        <v>8865.7771692173847</v>
      </c>
      <c r="M33" s="207">
        <f t="shared" si="2"/>
        <v>9309.0660276782546</v>
      </c>
      <c r="N33" s="207">
        <f t="shared" si="2"/>
        <v>9774.5193290621683</v>
      </c>
      <c r="O33" s="72"/>
      <c r="P33" s="72"/>
      <c r="Q33" s="73"/>
      <c r="R33" s="73"/>
      <c r="S33" s="73"/>
      <c r="T33" s="75"/>
      <c r="U33" s="74"/>
    </row>
    <row r="34" spans="1:21" s="76" customFormat="1" ht="30" customHeight="1">
      <c r="A34" s="252">
        <v>30</v>
      </c>
      <c r="B34" s="205" t="s">
        <v>43</v>
      </c>
      <c r="C34" s="206">
        <f>($A$200+$B$200)*'[20]نرخ تسهیم'!P32</f>
        <v>1854.5258542744405</v>
      </c>
      <c r="D34" s="207">
        <f t="shared" si="2"/>
        <v>1947.2521469881626</v>
      </c>
      <c r="E34" s="207">
        <f t="shared" si="2"/>
        <v>2044.6147543375707</v>
      </c>
      <c r="F34" s="207">
        <f t="shared" si="2"/>
        <v>2146.8454920544496</v>
      </c>
      <c r="G34" s="207">
        <f t="shared" si="2"/>
        <v>2254.1877666571722</v>
      </c>
      <c r="H34" s="207">
        <f t="shared" si="2"/>
        <v>2366.8971549900311</v>
      </c>
      <c r="I34" s="207">
        <f t="shared" si="2"/>
        <v>2485.2420127395326</v>
      </c>
      <c r="J34" s="207">
        <f t="shared" si="2"/>
        <v>2609.5041133765094</v>
      </c>
      <c r="K34" s="207">
        <f t="shared" si="2"/>
        <v>2739.9793190453352</v>
      </c>
      <c r="L34" s="207">
        <f t="shared" si="2"/>
        <v>2876.9782849976023</v>
      </c>
      <c r="M34" s="207">
        <f t="shared" si="2"/>
        <v>3020.8271992474824</v>
      </c>
      <c r="N34" s="207">
        <f t="shared" si="2"/>
        <v>3171.8685592098568</v>
      </c>
      <c r="O34" s="72">
        <f>(((C34*1)+(D34*6)+(E34*1)+(F34*1)+(G34*6)+(H34*6)+(I34*1)+(J34*1.2)+(K34*0.2)+(L34*6)+(M34*1)+(N34*0.1))/100)*1.3</f>
        <v>938.86695617303076</v>
      </c>
      <c r="P34" s="72"/>
      <c r="Q34" s="73"/>
      <c r="R34" s="73"/>
      <c r="S34" s="73"/>
      <c r="T34" s="75"/>
      <c r="U34" s="74"/>
    </row>
    <row r="35" spans="1:21" s="76" customFormat="1" ht="30" customHeight="1">
      <c r="A35" s="252">
        <v>31</v>
      </c>
      <c r="B35" s="205" t="s">
        <v>44</v>
      </c>
      <c r="C35" s="206">
        <f>($A$200+$B$200)*'[20]نرخ تسهیم'!P33</f>
        <v>7269.9525841502582</v>
      </c>
      <c r="D35" s="207">
        <f t="shared" si="2"/>
        <v>7633.4502133577716</v>
      </c>
      <c r="E35" s="207">
        <f t="shared" si="2"/>
        <v>8015.1227240256603</v>
      </c>
      <c r="F35" s="207">
        <f t="shared" si="2"/>
        <v>8415.8788602269433</v>
      </c>
      <c r="G35" s="207">
        <f t="shared" si="2"/>
        <v>8836.6728032382907</v>
      </c>
      <c r="H35" s="207">
        <f t="shared" si="2"/>
        <v>9278.5064434002052</v>
      </c>
      <c r="I35" s="207">
        <f t="shared" si="2"/>
        <v>9742.4317655702162</v>
      </c>
      <c r="J35" s="207">
        <f t="shared" si="2"/>
        <v>10229.553353848727</v>
      </c>
      <c r="K35" s="207">
        <f t="shared" si="2"/>
        <v>10741.031021541165</v>
      </c>
      <c r="L35" s="207">
        <f t="shared" si="2"/>
        <v>11278.082572618223</v>
      </c>
      <c r="M35" s="207">
        <f t="shared" si="2"/>
        <v>11841.986701249134</v>
      </c>
      <c r="N35" s="207">
        <f t="shared" si="2"/>
        <v>12434.086036311592</v>
      </c>
      <c r="O35" s="72"/>
      <c r="P35" s="72"/>
      <c r="Q35" s="73"/>
      <c r="R35" s="73"/>
      <c r="S35" s="73"/>
      <c r="T35" s="75"/>
      <c r="U35" s="74"/>
    </row>
    <row r="36" spans="1:21" s="76" customFormat="1" ht="30" customHeight="1">
      <c r="A36" s="252">
        <v>32</v>
      </c>
      <c r="B36" s="205" t="s">
        <v>45</v>
      </c>
      <c r="C36" s="206">
        <f>($A$200+$B$200)*'[20]نرخ تسهیم'!P34</f>
        <v>1962.7233063823205</v>
      </c>
      <c r="D36" s="207">
        <f t="shared" si="2"/>
        <v>2060.8594717014366</v>
      </c>
      <c r="E36" s="207">
        <f t="shared" si="2"/>
        <v>2163.9024452865087</v>
      </c>
      <c r="F36" s="207">
        <f t="shared" si="2"/>
        <v>2272.0975675508344</v>
      </c>
      <c r="G36" s="207">
        <f t="shared" si="2"/>
        <v>2385.7024459283762</v>
      </c>
      <c r="H36" s="207">
        <f t="shared" si="2"/>
        <v>2504.9875682247953</v>
      </c>
      <c r="I36" s="207">
        <f t="shared" si="2"/>
        <v>2630.2369466360351</v>
      </c>
      <c r="J36" s="207">
        <f t="shared" si="2"/>
        <v>2761.7487939678372</v>
      </c>
      <c r="K36" s="207">
        <f t="shared" si="2"/>
        <v>2899.836233666229</v>
      </c>
      <c r="L36" s="207">
        <f t="shared" si="2"/>
        <v>3044.8280453495404</v>
      </c>
      <c r="M36" s="207">
        <f t="shared" si="2"/>
        <v>3197.0694476170174</v>
      </c>
      <c r="N36" s="207">
        <f t="shared" si="2"/>
        <v>3356.9229199978686</v>
      </c>
      <c r="O36" s="72"/>
      <c r="P36" s="72"/>
      <c r="Q36" s="73"/>
      <c r="R36" s="73"/>
      <c r="S36" s="73"/>
      <c r="T36" s="75"/>
      <c r="U36" s="74"/>
    </row>
    <row r="37" spans="1:21" s="79" customFormat="1" ht="30" customHeight="1">
      <c r="A37" s="264">
        <v>33</v>
      </c>
      <c r="B37" s="252" t="s">
        <v>107</v>
      </c>
      <c r="C37" s="206">
        <f t="shared" ref="C37:N37" si="3">SUM(C5:C36)</f>
        <v>261033.68154737496</v>
      </c>
      <c r="D37" s="206">
        <f t="shared" si="3"/>
        <v>274085.3656247438</v>
      </c>
      <c r="E37" s="206">
        <f t="shared" si="3"/>
        <v>287789.63390598103</v>
      </c>
      <c r="F37" s="206">
        <f t="shared" si="3"/>
        <v>302179.11560128012</v>
      </c>
      <c r="G37" s="206">
        <f t="shared" si="3"/>
        <v>317288.07138134399</v>
      </c>
      <c r="H37" s="206">
        <f t="shared" si="3"/>
        <v>333152.47495041124</v>
      </c>
      <c r="I37" s="206">
        <f t="shared" si="3"/>
        <v>349810.09869793191</v>
      </c>
      <c r="J37" s="206">
        <f t="shared" si="3"/>
        <v>367300.6036328284</v>
      </c>
      <c r="K37" s="206">
        <f t="shared" si="3"/>
        <v>385665.63381447003</v>
      </c>
      <c r="L37" s="206">
        <f t="shared" si="3"/>
        <v>404948.91550519352</v>
      </c>
      <c r="M37" s="206">
        <f t="shared" si="3"/>
        <v>425196.36128045304</v>
      </c>
      <c r="N37" s="206">
        <f t="shared" si="3"/>
        <v>446456.17934447591</v>
      </c>
      <c r="O37" s="72"/>
      <c r="P37" s="72"/>
      <c r="Q37" s="73"/>
      <c r="R37" s="73"/>
      <c r="S37" s="73"/>
      <c r="T37" s="77"/>
      <c r="U37" s="78"/>
    </row>
    <row r="39" spans="1:21" ht="35.1" customHeight="1">
      <c r="C39" s="82"/>
    </row>
    <row r="199" spans="1:20" s="33" customFormat="1" ht="35.1" customHeight="1">
      <c r="D199" s="80"/>
      <c r="E199" s="80"/>
      <c r="F199" s="80"/>
      <c r="G199" s="80"/>
      <c r="H199" s="80"/>
      <c r="I199" s="80"/>
      <c r="J199" s="80"/>
      <c r="K199" s="80"/>
      <c r="L199" s="80"/>
      <c r="M199" s="80"/>
      <c r="N199" s="81"/>
      <c r="O199" s="32"/>
      <c r="P199" s="32"/>
      <c r="Q199" s="32"/>
      <c r="R199" s="32"/>
      <c r="T199" s="34"/>
    </row>
    <row r="200" spans="1:20" s="47" customFormat="1" ht="35.1" hidden="1" customHeight="1">
      <c r="A200" s="47">
        <f>'[20]عملیات-فعالیت ها '!$L$65</f>
        <v>116682.773662375</v>
      </c>
      <c r="B200" s="47">
        <f>'[20]عملیات-فعالیت ها '!$M$65</f>
        <v>144350.90788499999</v>
      </c>
      <c r="D200" s="48"/>
      <c r="E200" s="48"/>
      <c r="F200" s="48"/>
      <c r="G200" s="48"/>
      <c r="H200" s="48"/>
      <c r="I200" s="48"/>
      <c r="J200" s="48"/>
      <c r="K200" s="48"/>
      <c r="L200" s="48"/>
      <c r="M200" s="48"/>
      <c r="N200" s="49"/>
      <c r="O200" s="50"/>
      <c r="P200" s="50"/>
      <c r="Q200" s="50"/>
      <c r="R200" s="50"/>
      <c r="T200" s="51"/>
    </row>
    <row r="201" spans="1:20" s="33" customFormat="1" ht="35.1" customHeight="1">
      <c r="D201" s="80"/>
      <c r="E201" s="80"/>
      <c r="F201" s="80"/>
      <c r="G201" s="80"/>
      <c r="H201" s="80"/>
      <c r="I201" s="80"/>
      <c r="J201" s="80"/>
      <c r="K201" s="80"/>
      <c r="L201" s="80"/>
      <c r="M201" s="80"/>
      <c r="N201" s="81"/>
      <c r="O201" s="32"/>
      <c r="P201" s="32"/>
      <c r="Q201" s="32"/>
      <c r="R201" s="32"/>
      <c r="T201" s="34"/>
    </row>
  </sheetData>
  <mergeCells count="16">
    <mergeCell ref="N3:N4"/>
    <mergeCell ref="A1:N1"/>
    <mergeCell ref="A2:A4"/>
    <mergeCell ref="B2:B4"/>
    <mergeCell ref="C2:C4"/>
    <mergeCell ref="D2:D4"/>
    <mergeCell ref="E2:I2"/>
    <mergeCell ref="J2:N2"/>
    <mergeCell ref="E3:F3"/>
    <mergeCell ref="G3:G4"/>
    <mergeCell ref="H3:H4"/>
    <mergeCell ref="I3:I4"/>
    <mergeCell ref="J3:J4"/>
    <mergeCell ref="K3:K4"/>
    <mergeCell ref="L3:L4"/>
    <mergeCell ref="M3:M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9"/>
  <sheetViews>
    <sheetView showGridLines="0" rightToLeft="1" workbookViewId="0">
      <pane xSplit="11" topLeftCell="L1" activePane="topRight" state="frozen"/>
      <selection pane="topRight" sqref="A1:K1"/>
    </sheetView>
  </sheetViews>
  <sheetFormatPr defaultColWidth="10.6640625" defaultRowHeight="21.75"/>
  <cols>
    <col min="1" max="1" width="8.1640625" style="21" customWidth="1"/>
    <col min="2" max="2" width="26.5" style="21" customWidth="1"/>
    <col min="3" max="11" width="15.83203125" style="21" customWidth="1"/>
    <col min="12" max="13" width="11.6640625" style="343" customWidth="1"/>
    <col min="14" max="14" width="10.6640625" style="345"/>
    <col min="15" max="16384" width="10.6640625" style="21"/>
  </cols>
  <sheetData>
    <row r="1" spans="1:24" s="3" customFormat="1" ht="53.25" customHeight="1">
      <c r="A1" s="355" t="s">
        <v>10</v>
      </c>
      <c r="B1" s="355"/>
      <c r="C1" s="355"/>
      <c r="D1" s="355"/>
      <c r="E1" s="355"/>
      <c r="F1" s="355"/>
      <c r="G1" s="355"/>
      <c r="H1" s="355"/>
      <c r="I1" s="355"/>
      <c r="J1" s="355"/>
      <c r="K1" s="355"/>
      <c r="L1" s="339"/>
      <c r="M1" s="340"/>
      <c r="N1" s="342"/>
      <c r="O1" s="15"/>
      <c r="P1" s="15"/>
      <c r="Q1" s="15"/>
      <c r="R1" s="15"/>
      <c r="S1" s="15"/>
      <c r="T1" s="15"/>
      <c r="U1" s="15"/>
      <c r="V1" s="15"/>
      <c r="W1" s="6"/>
      <c r="X1" s="2"/>
    </row>
    <row r="2" spans="1:24" s="3" customFormat="1" ht="23.25" customHeight="1">
      <c r="A2" s="356" t="s">
        <v>0</v>
      </c>
      <c r="B2" s="356" t="s">
        <v>11</v>
      </c>
      <c r="C2" s="356" t="s">
        <v>2</v>
      </c>
      <c r="D2" s="356" t="s">
        <v>12</v>
      </c>
      <c r="E2" s="356" t="s">
        <v>13</v>
      </c>
      <c r="F2" s="356"/>
      <c r="G2" s="356"/>
      <c r="H2" s="356"/>
      <c r="I2" s="356"/>
      <c r="J2" s="356"/>
      <c r="K2" s="356"/>
      <c r="L2" s="339"/>
      <c r="M2" s="340"/>
      <c r="N2" s="342"/>
      <c r="O2" s="15"/>
      <c r="P2" s="15"/>
      <c r="Q2" s="15"/>
      <c r="R2" s="15"/>
      <c r="S2" s="15"/>
      <c r="T2" s="15"/>
      <c r="U2" s="15"/>
      <c r="V2" s="15"/>
      <c r="W2" s="6"/>
      <c r="X2" s="2"/>
    </row>
    <row r="3" spans="1:24" s="3" customFormat="1" ht="20.25" customHeight="1">
      <c r="A3" s="356"/>
      <c r="B3" s="356"/>
      <c r="C3" s="356"/>
      <c r="D3" s="356"/>
      <c r="E3" s="181">
        <v>1395</v>
      </c>
      <c r="F3" s="181">
        <v>1396</v>
      </c>
      <c r="G3" s="181">
        <v>1397</v>
      </c>
      <c r="H3" s="181">
        <v>1398</v>
      </c>
      <c r="I3" s="181">
        <v>1399</v>
      </c>
      <c r="J3" s="337">
        <v>1400</v>
      </c>
      <c r="K3" s="181">
        <v>1401</v>
      </c>
      <c r="L3" s="339"/>
      <c r="M3" s="340"/>
      <c r="N3" s="342"/>
      <c r="O3" s="15"/>
      <c r="P3" s="15"/>
      <c r="Q3" s="15"/>
      <c r="R3" s="15"/>
      <c r="S3" s="15"/>
      <c r="T3" s="15"/>
      <c r="U3" s="15"/>
      <c r="V3" s="15"/>
      <c r="W3" s="6"/>
      <c r="X3" s="2"/>
    </row>
    <row r="4" spans="1:24" s="3" customFormat="1" ht="30" customHeight="1">
      <c r="A4" s="182">
        <v>1</v>
      </c>
      <c r="B4" s="183" t="s">
        <v>14</v>
      </c>
      <c r="C4" s="183" t="s">
        <v>6</v>
      </c>
      <c r="D4" s="184">
        <v>3.412611939766629</v>
      </c>
      <c r="E4" s="184">
        <v>3.5972442842036529</v>
      </c>
      <c r="F4" s="184">
        <v>3.6775083469270116</v>
      </c>
      <c r="G4" s="184">
        <v>3.7486609390427073</v>
      </c>
      <c r="H4" s="184">
        <v>3.814659415209694</v>
      </c>
      <c r="I4" s="184">
        <v>3.8767493424587194</v>
      </c>
      <c r="J4" s="184">
        <v>3.939849886553489</v>
      </c>
      <c r="K4" s="184">
        <v>4.0039774969642181</v>
      </c>
      <c r="L4" s="341"/>
      <c r="M4" s="342"/>
      <c r="N4" s="342"/>
      <c r="O4" s="15"/>
      <c r="P4" s="15"/>
      <c r="Q4" s="15"/>
      <c r="R4" s="15"/>
      <c r="S4" s="15"/>
      <c r="T4" s="15"/>
      <c r="U4" s="15"/>
      <c r="V4" s="15"/>
      <c r="W4" s="6"/>
      <c r="X4" s="2"/>
    </row>
    <row r="5" spans="1:24" s="3" customFormat="1" ht="30" customHeight="1">
      <c r="A5" s="182">
        <v>2</v>
      </c>
      <c r="B5" s="183" t="s">
        <v>15</v>
      </c>
      <c r="C5" s="183" t="s">
        <v>6</v>
      </c>
      <c r="D5" s="184">
        <v>3.2756081510748132</v>
      </c>
      <c r="E5" s="184">
        <v>3.4528281875350166</v>
      </c>
      <c r="F5" s="184">
        <v>3.529869944035755</v>
      </c>
      <c r="G5" s="184">
        <v>3.5981660218840359</v>
      </c>
      <c r="H5" s="184">
        <v>3.6615149025381548</v>
      </c>
      <c r="I5" s="184">
        <v>3.7211121481043938</v>
      </c>
      <c r="J5" s="184">
        <v>3.7816794379756882</v>
      </c>
      <c r="K5" s="184">
        <v>3.8432325612366647</v>
      </c>
      <c r="L5" s="341"/>
      <c r="M5" s="342"/>
      <c r="N5" s="342"/>
      <c r="O5" s="15"/>
      <c r="P5" s="15"/>
      <c r="Q5" s="15"/>
      <c r="R5" s="15"/>
      <c r="S5" s="15"/>
      <c r="T5" s="15"/>
      <c r="U5" s="15"/>
      <c r="V5" s="15"/>
      <c r="W5" s="6"/>
      <c r="X5" s="2"/>
    </row>
    <row r="6" spans="1:24" s="3" customFormat="1" ht="30" customHeight="1">
      <c r="A6" s="182">
        <v>3</v>
      </c>
      <c r="B6" s="183" t="s">
        <v>16</v>
      </c>
      <c r="C6" s="183" t="s">
        <v>6</v>
      </c>
      <c r="D6" s="184">
        <v>2.3982661758531743</v>
      </c>
      <c r="E6" s="184">
        <v>2.5280194306759505</v>
      </c>
      <c r="F6" s="184">
        <v>2.5844262504853988</v>
      </c>
      <c r="G6" s="184">
        <v>2.634429842457541</v>
      </c>
      <c r="H6" s="184">
        <v>2.6808112991959123</v>
      </c>
      <c r="I6" s="184">
        <v>2.7244459623251474</v>
      </c>
      <c r="J6" s="184">
        <v>2.7687908521782747</v>
      </c>
      <c r="K6" s="184">
        <v>2.8138575288766097</v>
      </c>
      <c r="L6" s="341"/>
      <c r="M6" s="342"/>
      <c r="N6" s="342"/>
      <c r="O6" s="15"/>
      <c r="P6" s="15"/>
      <c r="Q6" s="15"/>
      <c r="R6" s="15"/>
      <c r="S6" s="15"/>
      <c r="T6" s="15"/>
      <c r="U6" s="15"/>
      <c r="V6" s="15"/>
      <c r="W6" s="6"/>
      <c r="X6" s="2"/>
    </row>
    <row r="7" spans="1:24" s="3" customFormat="1" ht="30" customHeight="1">
      <c r="A7" s="182">
        <v>4</v>
      </c>
      <c r="B7" s="183" t="s">
        <v>17</v>
      </c>
      <c r="C7" s="183" t="s">
        <v>6</v>
      </c>
      <c r="D7" s="184">
        <v>3.9782885369697212</v>
      </c>
      <c r="E7" s="184">
        <v>4.1935256493024777</v>
      </c>
      <c r="F7" s="184">
        <v>4.2870943310919438</v>
      </c>
      <c r="G7" s="184">
        <v>4.3700412194536229</v>
      </c>
      <c r="H7" s="184">
        <v>4.4469796425227708</v>
      </c>
      <c r="I7" s="184">
        <v>4.5193616332664863</v>
      </c>
      <c r="J7" s="184">
        <v>4.5929217613090385</v>
      </c>
      <c r="K7" s="184">
        <v>4.6676792027946679</v>
      </c>
      <c r="L7" s="341"/>
      <c r="M7" s="342"/>
      <c r="N7" s="342"/>
      <c r="O7" s="15"/>
      <c r="P7" s="15"/>
      <c r="Q7" s="15"/>
      <c r="R7" s="15"/>
      <c r="S7" s="15"/>
      <c r="T7" s="15"/>
      <c r="U7" s="15"/>
      <c r="V7" s="15"/>
      <c r="W7" s="6"/>
      <c r="X7" s="2"/>
    </row>
    <row r="8" spans="1:24" s="3" customFormat="1" ht="30" customHeight="1">
      <c r="A8" s="182">
        <v>5</v>
      </c>
      <c r="B8" s="183" t="s">
        <v>18</v>
      </c>
      <c r="C8" s="183" t="s">
        <v>6</v>
      </c>
      <c r="D8" s="184">
        <v>1.3512216307737865</v>
      </c>
      <c r="E8" s="184">
        <v>1.4243266957349212</v>
      </c>
      <c r="F8" s="184">
        <v>1.4561072027599897</v>
      </c>
      <c r="G8" s="184">
        <v>1.4842800285161251</v>
      </c>
      <c r="H8" s="184">
        <v>1.5104120851838512</v>
      </c>
      <c r="I8" s="184">
        <v>1.5349965542746413</v>
      </c>
      <c r="J8" s="184">
        <v>1.5599811764934453</v>
      </c>
      <c r="K8" s="184">
        <v>1.5853724649980321</v>
      </c>
      <c r="L8" s="341"/>
      <c r="M8" s="342"/>
      <c r="N8" s="342"/>
      <c r="O8" s="15"/>
      <c r="P8" s="15"/>
      <c r="Q8" s="15"/>
      <c r="R8" s="15"/>
      <c r="S8" s="15"/>
      <c r="T8" s="15"/>
      <c r="U8" s="15"/>
      <c r="V8" s="15"/>
      <c r="W8" s="6"/>
      <c r="X8" s="2"/>
    </row>
    <row r="9" spans="1:24" s="3" customFormat="1" ht="30" customHeight="1">
      <c r="A9" s="182">
        <v>6</v>
      </c>
      <c r="B9" s="183" t="s">
        <v>19</v>
      </c>
      <c r="C9" s="183" t="s">
        <v>6</v>
      </c>
      <c r="D9" s="184">
        <v>1.2997517237389797</v>
      </c>
      <c r="E9" s="184">
        <v>1.3700721153263107</v>
      </c>
      <c r="F9" s="184">
        <v>1.4006420587363173</v>
      </c>
      <c r="G9" s="184">
        <v>1.4277417424633796</v>
      </c>
      <c r="H9" s="184">
        <v>1.4528783928286284</v>
      </c>
      <c r="I9" s="184">
        <v>1.4765264053753662</v>
      </c>
      <c r="J9" s="184">
        <v>1.5005593286621706</v>
      </c>
      <c r="K9" s="184">
        <v>1.524983427751593</v>
      </c>
      <c r="L9" s="341"/>
      <c r="M9" s="342"/>
      <c r="N9" s="342"/>
      <c r="O9" s="15"/>
      <c r="P9" s="15"/>
      <c r="Q9" s="15"/>
      <c r="R9" s="15"/>
      <c r="S9" s="15"/>
      <c r="T9" s="15"/>
      <c r="U9" s="15"/>
      <c r="V9" s="15"/>
      <c r="W9" s="6"/>
      <c r="X9" s="2"/>
    </row>
    <row r="10" spans="1:24" s="3" customFormat="1" ht="30" customHeight="1">
      <c r="A10" s="182">
        <v>7</v>
      </c>
      <c r="B10" s="183" t="s">
        <v>20</v>
      </c>
      <c r="C10" s="183" t="s">
        <v>6</v>
      </c>
      <c r="D10" s="184">
        <v>0.85340616891679466</v>
      </c>
      <c r="E10" s="184">
        <v>0.89957795302386834</v>
      </c>
      <c r="F10" s="184">
        <v>0.91964992354950703</v>
      </c>
      <c r="G10" s="184">
        <v>0.93744335043709737</v>
      </c>
      <c r="H10" s="184">
        <v>0.95394786595018155</v>
      </c>
      <c r="I10" s="184">
        <v>0.96947495425590224</v>
      </c>
      <c r="J10" s="184">
        <v>0.98525477175140252</v>
      </c>
      <c r="K10" s="184">
        <v>1.0012914320246333</v>
      </c>
      <c r="L10" s="341"/>
      <c r="M10" s="342"/>
      <c r="N10" s="342"/>
      <c r="O10" s="15"/>
      <c r="P10" s="15"/>
      <c r="Q10" s="15"/>
      <c r="R10" s="15"/>
      <c r="S10" s="15"/>
      <c r="T10" s="15"/>
      <c r="U10" s="15"/>
      <c r="V10" s="15"/>
      <c r="W10" s="6"/>
      <c r="X10" s="2"/>
    </row>
    <row r="11" spans="1:24" s="3" customFormat="1" ht="30" customHeight="1">
      <c r="A11" s="182">
        <v>8</v>
      </c>
      <c r="B11" s="183" t="s">
        <v>21</v>
      </c>
      <c r="C11" s="183" t="s">
        <v>6</v>
      </c>
      <c r="D11" s="184">
        <v>4.4715691284898895</v>
      </c>
      <c r="E11" s="184">
        <v>4.7134941718517682</v>
      </c>
      <c r="F11" s="184">
        <v>4.8186647307479227</v>
      </c>
      <c r="G11" s="184">
        <v>4.9118964664190861</v>
      </c>
      <c r="H11" s="184">
        <v>4.9983747281624513</v>
      </c>
      <c r="I11" s="184">
        <v>5.0797315911100478</v>
      </c>
      <c r="J11" s="184">
        <v>5.1624126723303121</v>
      </c>
      <c r="K11" s="184">
        <v>5.2464395256783227</v>
      </c>
      <c r="L11" s="341"/>
      <c r="M11" s="342"/>
      <c r="N11" s="342"/>
      <c r="O11" s="15"/>
      <c r="P11" s="15"/>
      <c r="Q11" s="15"/>
      <c r="R11" s="15"/>
      <c r="S11" s="15"/>
      <c r="T11" s="15"/>
      <c r="U11" s="15"/>
      <c r="V11" s="15"/>
      <c r="W11" s="6"/>
      <c r="X11" s="2"/>
    </row>
    <row r="12" spans="1:24" s="3" customFormat="1" ht="30" customHeight="1">
      <c r="A12" s="182">
        <v>9</v>
      </c>
      <c r="B12" s="183" t="s">
        <v>22</v>
      </c>
      <c r="C12" s="183" t="s">
        <v>6</v>
      </c>
      <c r="D12" s="184">
        <v>1.0391214746365673</v>
      </c>
      <c r="E12" s="184">
        <v>1.0953410030808495</v>
      </c>
      <c r="F12" s="184">
        <v>1.1197809665720166</v>
      </c>
      <c r="G12" s="184">
        <v>1.141446537620957</v>
      </c>
      <c r="H12" s="184">
        <v>1.1615427088495835</v>
      </c>
      <c r="I12" s="184">
        <v>1.1804487485346866</v>
      </c>
      <c r="J12" s="184">
        <v>1.1996625154637828</v>
      </c>
      <c r="K12" s="184">
        <v>1.2191890184096386</v>
      </c>
      <c r="L12" s="341"/>
      <c r="M12" s="342"/>
      <c r="N12" s="342"/>
      <c r="O12" s="15"/>
      <c r="P12" s="15"/>
      <c r="Q12" s="15"/>
      <c r="R12" s="15"/>
      <c r="S12" s="15"/>
      <c r="T12" s="15"/>
      <c r="U12" s="15"/>
      <c r="V12" s="15"/>
      <c r="W12" s="6"/>
      <c r="X12" s="2"/>
    </row>
    <row r="13" spans="1:24" s="3" customFormat="1" ht="30" customHeight="1">
      <c r="A13" s="182">
        <v>10</v>
      </c>
      <c r="B13" s="183" t="s">
        <v>23</v>
      </c>
      <c r="C13" s="183" t="s">
        <v>6</v>
      </c>
      <c r="D13" s="184">
        <v>1.9765612642400616</v>
      </c>
      <c r="E13" s="184">
        <v>2.0834990428627918</v>
      </c>
      <c r="F13" s="184">
        <v>2.1299874335997635</v>
      </c>
      <c r="G13" s="184">
        <v>2.1711985234946707</v>
      </c>
      <c r="H13" s="184">
        <v>2.2094243850321118</v>
      </c>
      <c r="I13" s="184">
        <v>2.2453864420330314</v>
      </c>
      <c r="J13" s="184">
        <v>2.2819338413305683</v>
      </c>
      <c r="K13" s="184">
        <v>2.3190761103442528</v>
      </c>
      <c r="L13" s="341"/>
      <c r="M13" s="342"/>
      <c r="N13" s="342"/>
      <c r="O13" s="15"/>
      <c r="P13" s="15"/>
      <c r="Q13" s="15"/>
      <c r="R13" s="15"/>
      <c r="S13" s="15"/>
      <c r="T13" s="15"/>
      <c r="U13" s="15"/>
      <c r="V13" s="15"/>
      <c r="W13" s="6"/>
      <c r="X13" s="2"/>
    </row>
    <row r="14" spans="1:24" s="3" customFormat="1" ht="30" customHeight="1">
      <c r="A14" s="182">
        <v>11</v>
      </c>
      <c r="B14" s="183" t="s">
        <v>24</v>
      </c>
      <c r="C14" s="183" t="s">
        <v>6</v>
      </c>
      <c r="D14" s="184">
        <v>1.0979958433515973</v>
      </c>
      <c r="E14" s="184">
        <v>1.1574006483274526</v>
      </c>
      <c r="F14" s="184">
        <v>1.1832253271354352</v>
      </c>
      <c r="G14" s="184">
        <v>1.206118422443561</v>
      </c>
      <c r="H14" s="184">
        <v>1.2273531991418594</v>
      </c>
      <c r="I14" s="184">
        <v>1.2473304140249835</v>
      </c>
      <c r="J14" s="184">
        <v>1.2676327913102305</v>
      </c>
      <c r="K14" s="184">
        <v>1.2882656235565673</v>
      </c>
      <c r="L14" s="341"/>
      <c r="M14" s="342"/>
      <c r="N14" s="342"/>
      <c r="O14" s="15"/>
      <c r="P14" s="15"/>
      <c r="Q14" s="15"/>
      <c r="R14" s="15"/>
      <c r="S14" s="15"/>
      <c r="T14" s="15"/>
      <c r="U14" s="15"/>
      <c r="V14" s="15"/>
      <c r="W14" s="6"/>
      <c r="X14" s="2"/>
    </row>
    <row r="15" spans="1:24" s="3" customFormat="1" ht="30" customHeight="1">
      <c r="A15" s="182">
        <v>12</v>
      </c>
      <c r="B15" s="183" t="s">
        <v>25</v>
      </c>
      <c r="C15" s="183" t="s">
        <v>6</v>
      </c>
      <c r="D15" s="184">
        <v>6.0842194535349021</v>
      </c>
      <c r="E15" s="184">
        <v>6.4133936232332935</v>
      </c>
      <c r="F15" s="184">
        <v>6.5564934483703405</v>
      </c>
      <c r="G15" s="184">
        <v>6.6833487699717047</v>
      </c>
      <c r="H15" s="184">
        <v>6.8010150091123602</v>
      </c>
      <c r="I15" s="184">
        <v>6.9117128411263113</v>
      </c>
      <c r="J15" s="184">
        <v>7.0242124644899615</v>
      </c>
      <c r="K15" s="184">
        <v>7.1385432063546084</v>
      </c>
      <c r="L15" s="341"/>
      <c r="M15" s="342"/>
      <c r="N15" s="342"/>
      <c r="O15" s="15"/>
      <c r="P15" s="15"/>
      <c r="Q15" s="15"/>
      <c r="R15" s="15"/>
      <c r="S15" s="15"/>
      <c r="T15" s="15"/>
      <c r="U15" s="15"/>
      <c r="V15" s="15"/>
      <c r="W15" s="6"/>
      <c r="X15" s="2"/>
    </row>
    <row r="16" spans="1:24" s="3" customFormat="1" ht="30" customHeight="1">
      <c r="A16" s="182">
        <v>13</v>
      </c>
      <c r="B16" s="183" t="s">
        <v>26</v>
      </c>
      <c r="C16" s="183" t="s">
        <v>6</v>
      </c>
      <c r="D16" s="184">
        <v>1.5023219147027014</v>
      </c>
      <c r="E16" s="184">
        <v>1.5836019494990534</v>
      </c>
      <c r="F16" s="184">
        <v>1.6189363099598035</v>
      </c>
      <c r="G16" s="184">
        <v>1.6502595603937871</v>
      </c>
      <c r="H16" s="184">
        <v>1.6793138328492214</v>
      </c>
      <c r="I16" s="184">
        <v>1.7066474588327507</v>
      </c>
      <c r="J16" s="184">
        <v>1.7344259850456434</v>
      </c>
      <c r="K16" s="184">
        <v>1.7626566529791747</v>
      </c>
      <c r="L16" s="341"/>
      <c r="M16" s="342"/>
      <c r="N16" s="342"/>
      <c r="O16" s="15"/>
      <c r="P16" s="15"/>
      <c r="Q16" s="15"/>
      <c r="R16" s="15"/>
      <c r="S16" s="15"/>
      <c r="T16" s="15"/>
      <c r="U16" s="15"/>
      <c r="V16" s="15"/>
      <c r="W16" s="6"/>
      <c r="X16" s="2"/>
    </row>
    <row r="17" spans="1:24" s="3" customFormat="1" ht="30" customHeight="1">
      <c r="A17" s="182">
        <v>14</v>
      </c>
      <c r="B17" s="183" t="s">
        <v>27</v>
      </c>
      <c r="C17" s="183" t="s">
        <v>6</v>
      </c>
      <c r="D17" s="184">
        <v>3.3192950299258834</v>
      </c>
      <c r="E17" s="184">
        <v>3.4988786550406936</v>
      </c>
      <c r="F17" s="184">
        <v>3.5769479196338203</v>
      </c>
      <c r="G17" s="184">
        <v>3.6461548642101564</v>
      </c>
      <c r="H17" s="184">
        <v>3.7103486306829838</v>
      </c>
      <c r="I17" s="184">
        <v>3.7707407264043167</v>
      </c>
      <c r="J17" s="184">
        <v>3.8321158039391245</v>
      </c>
      <c r="K17" s="184">
        <v>3.8944898629515041</v>
      </c>
      <c r="L17" s="341"/>
      <c r="M17" s="342"/>
      <c r="N17" s="342"/>
      <c r="O17" s="15"/>
      <c r="P17" s="15"/>
      <c r="Q17" s="15"/>
      <c r="R17" s="15"/>
      <c r="S17" s="15"/>
      <c r="T17" s="15"/>
      <c r="U17" s="15"/>
      <c r="V17" s="15"/>
      <c r="W17" s="6"/>
      <c r="X17" s="2"/>
    </row>
    <row r="18" spans="1:24" s="3" customFormat="1" ht="30" customHeight="1">
      <c r="A18" s="182">
        <v>15</v>
      </c>
      <c r="B18" s="183" t="s">
        <v>28</v>
      </c>
      <c r="C18" s="183" t="s">
        <v>6</v>
      </c>
      <c r="D18" s="184">
        <v>1.159489505011478</v>
      </c>
      <c r="E18" s="184">
        <v>1.2222212979721019</v>
      </c>
      <c r="F18" s="184">
        <v>1.2494922974293918</v>
      </c>
      <c r="G18" s="184">
        <v>1.2736675289730504</v>
      </c>
      <c r="H18" s="184">
        <v>1.2960915671622868</v>
      </c>
      <c r="I18" s="184">
        <v>1.3171876133236602</v>
      </c>
      <c r="J18" s="184">
        <v>1.3386270327272631</v>
      </c>
      <c r="K18" s="184">
        <v>1.3604154143437763</v>
      </c>
      <c r="L18" s="341"/>
      <c r="M18" s="342"/>
      <c r="N18" s="342"/>
      <c r="O18" s="15"/>
      <c r="P18" s="15"/>
      <c r="Q18" s="15"/>
      <c r="R18" s="15"/>
      <c r="S18" s="15"/>
      <c r="T18" s="15"/>
      <c r="U18" s="15"/>
      <c r="V18" s="15"/>
      <c r="W18" s="6"/>
      <c r="X18" s="2"/>
    </row>
    <row r="19" spans="1:24" s="3" customFormat="1" ht="30" customHeight="1">
      <c r="A19" s="182">
        <v>16</v>
      </c>
      <c r="B19" s="183" t="s">
        <v>29</v>
      </c>
      <c r="C19" s="183" t="s">
        <v>6</v>
      </c>
      <c r="D19" s="184">
        <v>1.7963674115410604</v>
      </c>
      <c r="E19" s="184">
        <v>1.8935561726768415</v>
      </c>
      <c r="F19" s="184">
        <v>1.9358064341009369</v>
      </c>
      <c r="G19" s="184">
        <v>1.9732605015364655</v>
      </c>
      <c r="H19" s="184">
        <v>2.0080014899319556</v>
      </c>
      <c r="I19" s="184">
        <v>2.0406850542702824</v>
      </c>
      <c r="J19" s="184">
        <v>2.0739005979837311</v>
      </c>
      <c r="K19" s="184">
        <v>2.1076567799215207</v>
      </c>
      <c r="L19" s="341"/>
      <c r="M19" s="342"/>
      <c r="N19" s="342"/>
      <c r="O19" s="15"/>
      <c r="P19" s="15"/>
      <c r="Q19" s="15"/>
      <c r="R19" s="15"/>
      <c r="S19" s="15"/>
      <c r="T19" s="15"/>
      <c r="U19" s="15"/>
      <c r="V19" s="15"/>
      <c r="W19" s="6"/>
      <c r="X19" s="2"/>
    </row>
    <row r="20" spans="1:24" s="3" customFormat="1" ht="30" customHeight="1">
      <c r="A20" s="182">
        <v>17</v>
      </c>
      <c r="B20" s="183" t="s">
        <v>30</v>
      </c>
      <c r="C20" s="183" t="s">
        <v>6</v>
      </c>
      <c r="D20" s="184">
        <v>0.94679026352050089</v>
      </c>
      <c r="E20" s="184">
        <v>0.99801440184309376</v>
      </c>
      <c r="F20" s="184">
        <v>1.0202827506733658</v>
      </c>
      <c r="G20" s="184">
        <v>1.0400232258954014</v>
      </c>
      <c r="H20" s="184">
        <v>1.0583337504276358</v>
      </c>
      <c r="I20" s="184">
        <v>1.0755598926376679</v>
      </c>
      <c r="J20" s="184">
        <v>1.0930664189659618</v>
      </c>
      <c r="K20" s="184">
        <v>1.1108578931304303</v>
      </c>
      <c r="L20" s="341"/>
      <c r="M20" s="342"/>
      <c r="N20" s="342"/>
      <c r="O20" s="15"/>
      <c r="P20" s="15"/>
      <c r="Q20" s="15"/>
      <c r="R20" s="15"/>
      <c r="S20" s="15"/>
      <c r="T20" s="15"/>
      <c r="U20" s="15"/>
      <c r="V20" s="15"/>
      <c r="W20" s="6"/>
      <c r="X20" s="2"/>
    </row>
    <row r="21" spans="1:24" s="3" customFormat="1" ht="30" customHeight="1">
      <c r="A21" s="182">
        <v>18</v>
      </c>
      <c r="B21" s="183" t="s">
        <v>31</v>
      </c>
      <c r="C21" s="183" t="s">
        <v>6</v>
      </c>
      <c r="D21" s="184">
        <v>4.9422282810138061</v>
      </c>
      <c r="E21" s="184">
        <v>5.2096173690121743</v>
      </c>
      <c r="F21" s="184">
        <v>5.3258577525488899</v>
      </c>
      <c r="G21" s="184">
        <v>5.4289026809580898</v>
      </c>
      <c r="H21" s="184">
        <v>5.524483292282623</v>
      </c>
      <c r="I21" s="184">
        <v>5.6144034472350226</v>
      </c>
      <c r="J21" s="184">
        <v>5.705787202281563</v>
      </c>
      <c r="K21" s="184">
        <v>5.7986583799483142</v>
      </c>
      <c r="L21" s="341"/>
      <c r="M21" s="342"/>
      <c r="N21" s="342"/>
      <c r="O21" s="15"/>
      <c r="P21" s="15"/>
      <c r="Q21" s="15"/>
      <c r="R21" s="15"/>
      <c r="S21" s="15"/>
      <c r="T21" s="15"/>
      <c r="U21" s="15"/>
      <c r="V21" s="15"/>
      <c r="W21" s="6"/>
      <c r="X21" s="2"/>
    </row>
    <row r="22" spans="1:24" s="3" customFormat="1" ht="30" customHeight="1">
      <c r="A22" s="182">
        <v>19</v>
      </c>
      <c r="B22" s="183" t="s">
        <v>32</v>
      </c>
      <c r="C22" s="183" t="s">
        <v>6</v>
      </c>
      <c r="D22" s="184">
        <v>1.9493215322986859</v>
      </c>
      <c r="E22" s="184">
        <v>2.0547855612953407</v>
      </c>
      <c r="F22" s="184">
        <v>2.1006332780876327</v>
      </c>
      <c r="G22" s="184">
        <v>2.1412764224996153</v>
      </c>
      <c r="H22" s="184">
        <v>2.1789754791055085</v>
      </c>
      <c r="I22" s="184">
        <v>2.214441929514066</v>
      </c>
      <c r="J22" s="184">
        <v>2.2504856553975636</v>
      </c>
      <c r="K22" s="184">
        <v>2.2871160528745897</v>
      </c>
      <c r="L22" s="341"/>
      <c r="M22" s="342"/>
      <c r="N22" s="342"/>
      <c r="O22" s="15"/>
      <c r="P22" s="15"/>
      <c r="Q22" s="15"/>
      <c r="R22" s="15"/>
      <c r="S22" s="15"/>
      <c r="T22" s="15"/>
      <c r="U22" s="15"/>
      <c r="V22" s="15"/>
      <c r="W22" s="6"/>
      <c r="X22" s="2"/>
    </row>
    <row r="23" spans="1:24" s="3" customFormat="1" ht="30" customHeight="1">
      <c r="A23" s="182">
        <v>20</v>
      </c>
      <c r="B23" s="183" t="s">
        <v>33</v>
      </c>
      <c r="C23" s="183" t="s">
        <v>6</v>
      </c>
      <c r="D23" s="184">
        <v>1.3717562613189818</v>
      </c>
      <c r="E23" s="184">
        <v>1.4459723101970179</v>
      </c>
      <c r="F23" s="184">
        <v>1.4782357883020603</v>
      </c>
      <c r="G23" s="184">
        <v>1.5068367588977547</v>
      </c>
      <c r="H23" s="184">
        <v>1.5333659466628795</v>
      </c>
      <c r="I23" s="184">
        <v>1.5583240280304653</v>
      </c>
      <c r="J23" s="184">
        <v>1.5836883436873326</v>
      </c>
      <c r="K23" s="184">
        <v>1.6094655057722655</v>
      </c>
      <c r="L23" s="341"/>
      <c r="M23" s="342"/>
      <c r="N23" s="342"/>
      <c r="O23" s="15"/>
      <c r="P23" s="15"/>
      <c r="Q23" s="15"/>
      <c r="R23" s="15"/>
      <c r="S23" s="15"/>
      <c r="T23" s="15"/>
      <c r="U23" s="15"/>
      <c r="V23" s="15"/>
      <c r="W23" s="6"/>
      <c r="X23" s="2"/>
    </row>
    <row r="24" spans="1:24" s="3" customFormat="1" ht="30" customHeight="1">
      <c r="A24" s="182">
        <v>21</v>
      </c>
      <c r="B24" s="183" t="s">
        <v>34</v>
      </c>
      <c r="C24" s="183" t="s">
        <v>6</v>
      </c>
      <c r="D24" s="184">
        <v>1.3343565718842381</v>
      </c>
      <c r="E24" s="184">
        <v>1.4065491875494063</v>
      </c>
      <c r="F24" s="184">
        <v>1.437933031206815</v>
      </c>
      <c r="G24" s="184">
        <v>1.465754222297962</v>
      </c>
      <c r="H24" s="184">
        <v>1.4915601158370282</v>
      </c>
      <c r="I24" s="184">
        <v>1.5158377377685208</v>
      </c>
      <c r="J24" s="184">
        <v>1.5405105183801031</v>
      </c>
      <c r="K24" s="184">
        <v>1.5655848895365965</v>
      </c>
      <c r="L24" s="341"/>
      <c r="M24" s="342"/>
      <c r="N24" s="342"/>
      <c r="O24" s="15"/>
      <c r="P24" s="15"/>
      <c r="Q24" s="15"/>
      <c r="R24" s="15"/>
      <c r="S24" s="15"/>
      <c r="T24" s="15"/>
      <c r="U24" s="15"/>
      <c r="V24" s="15"/>
      <c r="W24" s="6"/>
      <c r="X24" s="2"/>
    </row>
    <row r="25" spans="1:24" s="3" customFormat="1" ht="30" customHeight="1">
      <c r="A25" s="182">
        <v>22</v>
      </c>
      <c r="B25" s="183" t="s">
        <v>35</v>
      </c>
      <c r="C25" s="183" t="s">
        <v>6</v>
      </c>
      <c r="D25" s="184">
        <v>1.8908135079637614</v>
      </c>
      <c r="E25" s="184">
        <v>1.9931120807374403</v>
      </c>
      <c r="F25" s="184">
        <v>2.0375836985715372</v>
      </c>
      <c r="G25" s="184">
        <v>2.0770069569652803</v>
      </c>
      <c r="H25" s="184">
        <v>2.1135744930473632</v>
      </c>
      <c r="I25" s="184">
        <v>2.1479764336204754</v>
      </c>
      <c r="J25" s="184">
        <v>2.1829383230002608</v>
      </c>
      <c r="K25" s="184">
        <v>2.2184692752849609</v>
      </c>
      <c r="L25" s="341"/>
      <c r="M25" s="342"/>
      <c r="N25" s="342"/>
      <c r="O25" s="15"/>
      <c r="P25" s="15"/>
      <c r="Q25" s="15"/>
      <c r="R25" s="15"/>
      <c r="S25" s="15"/>
      <c r="T25" s="15"/>
      <c r="U25" s="15"/>
      <c r="V25" s="15"/>
      <c r="W25" s="6"/>
      <c r="X25" s="2"/>
    </row>
    <row r="26" spans="1:24" s="3" customFormat="1" ht="30" customHeight="1">
      <c r="A26" s="182">
        <v>23</v>
      </c>
      <c r="B26" s="183" t="s">
        <v>36</v>
      </c>
      <c r="C26" s="183" t="s">
        <v>6</v>
      </c>
      <c r="D26" s="184">
        <v>2.6140396447326064</v>
      </c>
      <c r="E26" s="184">
        <v>2.7554668789382366</v>
      </c>
      <c r="F26" s="184">
        <v>2.816948654689309</v>
      </c>
      <c r="G26" s="184">
        <v>2.8714511002936685</v>
      </c>
      <c r="H26" s="184">
        <v>2.9220055249506487</v>
      </c>
      <c r="I26" s="184">
        <v>2.9695660253041152</v>
      </c>
      <c r="J26" s="184">
        <v>3.0179006519124969</v>
      </c>
      <c r="K26" s="184">
        <v>3.0670220049682668</v>
      </c>
      <c r="L26" s="341"/>
      <c r="M26" s="342"/>
      <c r="N26" s="342"/>
      <c r="O26" s="15"/>
      <c r="P26" s="15"/>
      <c r="Q26" s="15"/>
      <c r="R26" s="15"/>
      <c r="S26" s="15"/>
      <c r="T26" s="15"/>
      <c r="U26" s="15"/>
      <c r="V26" s="15"/>
      <c r="W26" s="6"/>
      <c r="X26" s="2"/>
    </row>
    <row r="27" spans="1:24" s="3" customFormat="1" ht="30" customHeight="1">
      <c r="A27" s="182">
        <v>24</v>
      </c>
      <c r="B27" s="183" t="s">
        <v>37</v>
      </c>
      <c r="C27" s="183" t="s">
        <v>6</v>
      </c>
      <c r="D27" s="184">
        <v>0.92258145898751154</v>
      </c>
      <c r="E27" s="184">
        <v>0.97249582977255977</v>
      </c>
      <c r="F27" s="184">
        <v>0.99419479156446078</v>
      </c>
      <c r="G27" s="184">
        <v>1.0134305158142363</v>
      </c>
      <c r="H27" s="184">
        <v>1.03127285227317</v>
      </c>
      <c r="I27" s="184">
        <v>1.0480585333529095</v>
      </c>
      <c r="J27" s="184">
        <v>1.0651174293133567</v>
      </c>
      <c r="K27" s="184">
        <v>1.0824539871811578</v>
      </c>
      <c r="L27" s="341"/>
      <c r="M27" s="342"/>
      <c r="N27" s="342"/>
      <c r="O27" s="15"/>
      <c r="P27" s="15"/>
      <c r="Q27" s="15"/>
      <c r="R27" s="15"/>
      <c r="S27" s="15"/>
      <c r="T27" s="15"/>
      <c r="U27" s="15"/>
      <c r="V27" s="15"/>
      <c r="W27" s="6"/>
      <c r="X27" s="2"/>
    </row>
    <row r="28" spans="1:24" s="3" customFormat="1" ht="30" customHeight="1">
      <c r="A28" s="182">
        <v>25</v>
      </c>
      <c r="B28" s="183" t="s">
        <v>38</v>
      </c>
      <c r="C28" s="183" t="s">
        <v>6</v>
      </c>
      <c r="D28" s="184">
        <v>2.2533441338175906</v>
      </c>
      <c r="E28" s="184">
        <v>2.3752566798654153</v>
      </c>
      <c r="F28" s="184">
        <v>2.4282549574563963</v>
      </c>
      <c r="G28" s="184">
        <v>2.4752369404300545</v>
      </c>
      <c r="H28" s="184">
        <v>2.5188156659742047</v>
      </c>
      <c r="I28" s="184">
        <v>2.5598135807108329</v>
      </c>
      <c r="J28" s="184">
        <v>2.601478804705323</v>
      </c>
      <c r="K28" s="184">
        <v>2.6438221995258422</v>
      </c>
      <c r="L28" s="341"/>
      <c r="M28" s="342"/>
      <c r="N28" s="342"/>
      <c r="O28" s="15"/>
      <c r="P28" s="15"/>
      <c r="Q28" s="15"/>
      <c r="R28" s="15"/>
      <c r="S28" s="15"/>
      <c r="T28" s="15"/>
      <c r="U28" s="15"/>
      <c r="V28" s="15"/>
      <c r="W28" s="6"/>
      <c r="X28" s="2"/>
    </row>
    <row r="29" spans="1:24" s="3" customFormat="1" ht="30" customHeight="1">
      <c r="A29" s="182">
        <v>26</v>
      </c>
      <c r="B29" s="183" t="s">
        <v>39</v>
      </c>
      <c r="C29" s="183" t="s">
        <v>6</v>
      </c>
      <c r="D29" s="184">
        <v>1.8383316749813567</v>
      </c>
      <c r="E29" s="184">
        <v>1.9377908262107988</v>
      </c>
      <c r="F29" s="184">
        <v>1.9810280801005951</v>
      </c>
      <c r="G29" s="184">
        <v>2.0193570979180318</v>
      </c>
      <c r="H29" s="184">
        <v>2.0549096574764358</v>
      </c>
      <c r="I29" s="184">
        <v>2.0883567302681278</v>
      </c>
      <c r="J29" s="184">
        <v>2.1223482098050326</v>
      </c>
      <c r="K29" s="184">
        <v>2.1568929572124893</v>
      </c>
      <c r="L29" s="341"/>
      <c r="M29" s="342"/>
      <c r="N29" s="342"/>
      <c r="O29" s="15"/>
      <c r="P29" s="15"/>
      <c r="Q29" s="15"/>
      <c r="R29" s="15"/>
      <c r="S29" s="15"/>
      <c r="T29" s="15"/>
      <c r="U29" s="15"/>
      <c r="V29" s="15"/>
      <c r="W29" s="6"/>
      <c r="X29" s="2"/>
    </row>
    <row r="30" spans="1:24" s="3" customFormat="1" ht="30" customHeight="1">
      <c r="A30" s="182">
        <v>27</v>
      </c>
      <c r="B30" s="183" t="s">
        <v>40</v>
      </c>
      <c r="C30" s="183" t="s">
        <v>6</v>
      </c>
      <c r="D30" s="184">
        <v>2.4647754349254378</v>
      </c>
      <c r="E30" s="184">
        <v>2.5981270363068094</v>
      </c>
      <c r="F30" s="184">
        <v>2.6560981427788151</v>
      </c>
      <c r="G30" s="184">
        <v>2.7074884456534014</v>
      </c>
      <c r="H30" s="184">
        <v>2.7551561634221042</v>
      </c>
      <c r="I30" s="184">
        <v>2.800000912881127</v>
      </c>
      <c r="J30" s="184">
        <v>2.8455755852319053</v>
      </c>
      <c r="K30" s="184">
        <v>2.8918920611836487</v>
      </c>
      <c r="L30" s="341"/>
      <c r="M30" s="342"/>
      <c r="N30" s="342"/>
      <c r="O30" s="15"/>
      <c r="P30" s="15"/>
      <c r="Q30" s="15"/>
      <c r="R30" s="15"/>
      <c r="S30" s="15"/>
      <c r="T30" s="15"/>
      <c r="U30" s="15"/>
      <c r="V30" s="15"/>
      <c r="W30" s="6"/>
      <c r="X30" s="2"/>
    </row>
    <row r="31" spans="1:24" s="3" customFormat="1" ht="30" customHeight="1">
      <c r="A31" s="182">
        <v>28</v>
      </c>
      <c r="B31" s="183" t="s">
        <v>41</v>
      </c>
      <c r="C31" s="183" t="s">
        <v>6</v>
      </c>
      <c r="D31" s="184">
        <v>2.8102230316332526</v>
      </c>
      <c r="E31" s="184">
        <v>2.9622643641607507</v>
      </c>
      <c r="F31" s="184">
        <v>3.0283603403979615</v>
      </c>
      <c r="G31" s="184">
        <v>3.0869531885310573</v>
      </c>
      <c r="H31" s="184">
        <v>3.1413017171803026</v>
      </c>
      <c r="I31" s="184">
        <v>3.1924316278374096</v>
      </c>
      <c r="J31" s="184">
        <v>3.244393762839445</v>
      </c>
      <c r="K31" s="184">
        <v>3.2972016680219367</v>
      </c>
      <c r="L31" s="341"/>
      <c r="M31" s="342"/>
      <c r="N31" s="342"/>
      <c r="O31" s="15"/>
      <c r="P31" s="15"/>
      <c r="Q31" s="15"/>
      <c r="R31" s="15"/>
      <c r="S31" s="15"/>
      <c r="T31" s="15"/>
      <c r="U31" s="15"/>
      <c r="V31" s="15"/>
      <c r="W31" s="6"/>
      <c r="X31" s="2"/>
    </row>
    <row r="32" spans="1:24" s="3" customFormat="1" ht="30" customHeight="1">
      <c r="A32" s="182">
        <v>29</v>
      </c>
      <c r="B32" s="183" t="s">
        <v>42</v>
      </c>
      <c r="C32" s="183" t="s">
        <v>6</v>
      </c>
      <c r="D32" s="184">
        <v>1.6130850326639941</v>
      </c>
      <c r="E32" s="184">
        <v>1.7003576779614238</v>
      </c>
      <c r="F32" s="184">
        <v>1.7382971684528938</v>
      </c>
      <c r="G32" s="184">
        <v>1.7719298179902228</v>
      </c>
      <c r="H32" s="184">
        <v>1.8031262024495931</v>
      </c>
      <c r="I32" s="184">
        <v>1.8324750806966312</v>
      </c>
      <c r="J32" s="184">
        <v>1.8623016607557719</v>
      </c>
      <c r="K32" s="184">
        <v>1.8926137180186113</v>
      </c>
      <c r="L32" s="341"/>
      <c r="M32" s="342"/>
      <c r="N32" s="342"/>
      <c r="O32" s="15"/>
      <c r="P32" s="15"/>
      <c r="Q32" s="15"/>
      <c r="R32" s="15"/>
      <c r="S32" s="15"/>
      <c r="T32" s="15"/>
      <c r="U32" s="15"/>
      <c r="V32" s="15"/>
      <c r="W32" s="6"/>
      <c r="X32" s="2"/>
    </row>
    <row r="33" spans="1:24" s="3" customFormat="1" ht="30" customHeight="1">
      <c r="A33" s="182">
        <v>30</v>
      </c>
      <c r="B33" s="183" t="s">
        <v>43</v>
      </c>
      <c r="C33" s="183" t="s">
        <v>6</v>
      </c>
      <c r="D33" s="184">
        <v>0.47970008741914982</v>
      </c>
      <c r="E33" s="184">
        <v>0.50565327322816966</v>
      </c>
      <c r="F33" s="184">
        <v>0.51693573914711732</v>
      </c>
      <c r="G33" s="184">
        <v>0.52693743440589103</v>
      </c>
      <c r="H33" s="184">
        <v>0.53621463185629881</v>
      </c>
      <c r="I33" s="184">
        <v>0.54494241692383949</v>
      </c>
      <c r="J33" s="184">
        <v>0.55381226121106519</v>
      </c>
      <c r="K33" s="184">
        <v>0.56282647696807619</v>
      </c>
      <c r="L33" s="341"/>
      <c r="M33" s="342"/>
      <c r="N33" s="342"/>
      <c r="O33" s="15"/>
      <c r="P33" s="15"/>
      <c r="Q33" s="15"/>
      <c r="R33" s="15"/>
      <c r="S33" s="15"/>
      <c r="T33" s="15"/>
      <c r="U33" s="15"/>
      <c r="V33" s="15"/>
      <c r="W33" s="6"/>
      <c r="X33" s="2"/>
    </row>
    <row r="34" spans="1:24" s="3" customFormat="1" ht="30" customHeight="1">
      <c r="A34" s="182">
        <v>31</v>
      </c>
      <c r="B34" s="183" t="s">
        <v>44</v>
      </c>
      <c r="C34" s="183" t="s">
        <v>6</v>
      </c>
      <c r="D34" s="184">
        <v>1.881544111138985</v>
      </c>
      <c r="E34" s="184">
        <v>1.9833411822777043</v>
      </c>
      <c r="F34" s="184">
        <v>2.0275947854469978</v>
      </c>
      <c r="G34" s="184">
        <v>2.0668247779133306</v>
      </c>
      <c r="H34" s="184">
        <v>2.1032130477687749</v>
      </c>
      <c r="I34" s="184">
        <v>2.1374463385848532</v>
      </c>
      <c r="J34" s="184">
        <v>2.1722368331522786</v>
      </c>
      <c r="K34" s="184">
        <v>2.2075936008889507</v>
      </c>
      <c r="L34" s="341"/>
      <c r="M34" s="342"/>
      <c r="N34" s="342"/>
      <c r="O34" s="15"/>
      <c r="P34" s="15"/>
      <c r="Q34" s="15"/>
      <c r="R34" s="15"/>
      <c r="S34" s="15"/>
      <c r="T34" s="15"/>
      <c r="U34" s="15"/>
      <c r="V34" s="15"/>
      <c r="W34" s="6"/>
      <c r="X34" s="2"/>
    </row>
    <row r="35" spans="1:24" s="3" customFormat="1" ht="30" customHeight="1">
      <c r="A35" s="182">
        <v>32</v>
      </c>
      <c r="B35" s="183" t="s">
        <v>45</v>
      </c>
      <c r="C35" s="183" t="s">
        <v>6</v>
      </c>
      <c r="D35" s="184">
        <v>0.76735555917211673</v>
      </c>
      <c r="E35" s="184">
        <v>0.80887175216662976</v>
      </c>
      <c r="F35" s="184">
        <v>0.82691982672641129</v>
      </c>
      <c r="G35" s="184">
        <v>0.84291910765057609</v>
      </c>
      <c r="H35" s="184">
        <v>0.85775944064990595</v>
      </c>
      <c r="I35" s="184">
        <v>0.87172090233499577</v>
      </c>
      <c r="J35" s="184">
        <v>0.88590961003236668</v>
      </c>
      <c r="K35" s="184">
        <v>0.90032926254886747</v>
      </c>
      <c r="L35" s="341"/>
      <c r="M35" s="342"/>
      <c r="N35" s="342"/>
      <c r="O35" s="15"/>
      <c r="P35" s="15"/>
      <c r="Q35" s="15"/>
      <c r="R35" s="15"/>
      <c r="S35" s="15"/>
      <c r="T35" s="15"/>
      <c r="U35" s="15"/>
      <c r="V35" s="15"/>
      <c r="W35" s="6"/>
      <c r="X35" s="2"/>
    </row>
    <row r="36" spans="1:24" s="3" customFormat="1" ht="30" customHeight="1">
      <c r="A36" s="360" t="s">
        <v>46</v>
      </c>
      <c r="B36" s="360"/>
      <c r="C36" s="183" t="s">
        <v>47</v>
      </c>
      <c r="D36" s="184">
        <f t="shared" ref="D36:I36" si="0">SUM(D4:D35)</f>
        <v>69.096341939999988</v>
      </c>
      <c r="E36" s="184">
        <f t="shared" si="0"/>
        <v>72.834657291870002</v>
      </c>
      <c r="F36" s="184">
        <f t="shared" si="0"/>
        <v>74.459791711286599</v>
      </c>
      <c r="G36" s="184">
        <f t="shared" si="0"/>
        <v>75.900443013432508</v>
      </c>
      <c r="H36" s="184">
        <f t="shared" si="0"/>
        <v>77.236737135718457</v>
      </c>
      <c r="I36" s="184">
        <f t="shared" si="0"/>
        <v>78.493893507421802</v>
      </c>
      <c r="J36" s="184">
        <v>79.771512190215972</v>
      </c>
      <c r="K36" s="184">
        <v>81.069926242250787</v>
      </c>
      <c r="L36" s="341"/>
      <c r="M36" s="342"/>
      <c r="N36" s="342"/>
      <c r="O36" s="15"/>
      <c r="P36" s="15"/>
      <c r="Q36" s="15"/>
      <c r="R36" s="15"/>
      <c r="S36" s="15"/>
      <c r="T36" s="15"/>
      <c r="U36" s="15"/>
      <c r="V36" s="15"/>
      <c r="W36" s="6"/>
      <c r="X36" s="2"/>
    </row>
    <row r="37" spans="1:24" ht="30" customHeight="1">
      <c r="A37" s="357"/>
      <c r="B37" s="358"/>
      <c r="C37" s="358"/>
      <c r="D37" s="358"/>
      <c r="E37" s="358"/>
      <c r="F37" s="358"/>
      <c r="G37" s="358"/>
      <c r="H37" s="358"/>
      <c r="I37" s="358"/>
      <c r="J37" s="358"/>
      <c r="K37" s="359"/>
    </row>
    <row r="38" spans="1:24" s="22" customFormat="1" hidden="1">
      <c r="L38" s="344"/>
      <c r="M38" s="344"/>
      <c r="N38" s="346"/>
    </row>
    <row r="39" spans="1:24">
      <c r="D39" s="23"/>
      <c r="E39" s="23"/>
      <c r="F39" s="23"/>
      <c r="G39" s="23"/>
      <c r="H39" s="23"/>
      <c r="I39" s="23"/>
      <c r="J39" s="23"/>
      <c r="K39" s="23"/>
    </row>
    <row r="40" spans="1:24">
      <c r="B40" s="23"/>
      <c r="C40" s="23"/>
      <c r="D40" s="23"/>
      <c r="E40" s="23"/>
      <c r="F40" s="23"/>
      <c r="G40" s="23"/>
      <c r="H40" s="23"/>
      <c r="I40" s="23"/>
      <c r="J40" s="23"/>
      <c r="K40" s="23"/>
    </row>
    <row r="41" spans="1:24">
      <c r="I41" s="23"/>
      <c r="J41" s="23"/>
    </row>
    <row r="42" spans="1:24">
      <c r="I42" s="23"/>
      <c r="J42" s="23"/>
    </row>
    <row r="43" spans="1:24">
      <c r="I43" s="23"/>
      <c r="J43" s="23"/>
    </row>
    <row r="44" spans="1:24">
      <c r="I44" s="23"/>
      <c r="J44" s="23"/>
    </row>
    <row r="45" spans="1:24">
      <c r="I45" s="23"/>
      <c r="J45" s="23"/>
    </row>
    <row r="46" spans="1:24">
      <c r="I46" s="23"/>
      <c r="J46" s="23"/>
    </row>
    <row r="47" spans="1:24">
      <c r="I47" s="23"/>
      <c r="J47" s="23"/>
    </row>
    <row r="48" spans="1:24">
      <c r="I48" s="23"/>
      <c r="J48" s="23"/>
    </row>
    <row r="49" spans="9:10">
      <c r="I49" s="23"/>
      <c r="J49" s="23"/>
    </row>
    <row r="50" spans="9:10">
      <c r="I50" s="23"/>
      <c r="J50" s="23"/>
    </row>
    <row r="51" spans="9:10">
      <c r="I51" s="23"/>
      <c r="J51" s="23"/>
    </row>
    <row r="52" spans="9:10">
      <c r="I52" s="23"/>
      <c r="J52" s="23"/>
    </row>
    <row r="53" spans="9:10">
      <c r="I53" s="23"/>
      <c r="J53" s="23"/>
    </row>
    <row r="54" spans="9:10">
      <c r="I54" s="23"/>
      <c r="J54" s="23"/>
    </row>
    <row r="55" spans="9:10">
      <c r="I55" s="23"/>
      <c r="J55" s="23"/>
    </row>
    <row r="56" spans="9:10">
      <c r="I56" s="23"/>
      <c r="J56" s="23"/>
    </row>
    <row r="57" spans="9:10">
      <c r="I57" s="23"/>
      <c r="J57" s="23"/>
    </row>
    <row r="58" spans="9:10">
      <c r="I58" s="23"/>
      <c r="J58" s="23"/>
    </row>
    <row r="59" spans="9:10">
      <c r="I59" s="23"/>
      <c r="J59" s="23"/>
    </row>
    <row r="60" spans="9:10">
      <c r="I60" s="23"/>
      <c r="J60" s="23"/>
    </row>
    <row r="61" spans="9:10">
      <c r="I61" s="23"/>
      <c r="J61" s="23"/>
    </row>
    <row r="62" spans="9:10">
      <c r="I62" s="23"/>
      <c r="J62" s="23"/>
    </row>
    <row r="63" spans="9:10">
      <c r="I63" s="23"/>
      <c r="J63" s="23"/>
    </row>
    <row r="64" spans="9:10">
      <c r="I64" s="23"/>
      <c r="J64" s="23"/>
    </row>
    <row r="65" spans="9:10">
      <c r="I65" s="23"/>
      <c r="J65" s="23"/>
    </row>
    <row r="66" spans="9:10">
      <c r="I66" s="23"/>
      <c r="J66" s="23"/>
    </row>
    <row r="67" spans="9:10">
      <c r="I67" s="23"/>
      <c r="J67" s="23"/>
    </row>
    <row r="68" spans="9:10">
      <c r="I68" s="23"/>
      <c r="J68" s="23"/>
    </row>
    <row r="69" spans="9:10">
      <c r="I69" s="23"/>
      <c r="J69" s="23"/>
    </row>
    <row r="70" spans="9:10">
      <c r="I70" s="23"/>
      <c r="J70" s="23"/>
    </row>
    <row r="71" spans="9:10">
      <c r="I71" s="23"/>
      <c r="J71" s="23"/>
    </row>
    <row r="72" spans="9:10">
      <c r="I72" s="23"/>
      <c r="J72" s="23"/>
    </row>
    <row r="73" spans="9:10">
      <c r="I73" s="23"/>
      <c r="J73" s="23"/>
    </row>
    <row r="74" spans="9:10">
      <c r="I74" s="23"/>
      <c r="J74" s="23"/>
    </row>
    <row r="75" spans="9:10">
      <c r="I75" s="23"/>
      <c r="J75" s="23"/>
    </row>
    <row r="76" spans="9:10">
      <c r="I76" s="23"/>
      <c r="J76" s="23"/>
    </row>
    <row r="77" spans="9:10">
      <c r="I77" s="23"/>
      <c r="J77" s="23"/>
    </row>
    <row r="78" spans="9:10">
      <c r="I78" s="23"/>
      <c r="J78" s="23"/>
    </row>
    <row r="79" spans="9:10">
      <c r="I79" s="23"/>
      <c r="J79" s="23"/>
    </row>
  </sheetData>
  <mergeCells count="8">
    <mergeCell ref="A1:K1"/>
    <mergeCell ref="E2:K2"/>
    <mergeCell ref="A37:K37"/>
    <mergeCell ref="A36:B36"/>
    <mergeCell ref="A2:A3"/>
    <mergeCell ref="B2:B3"/>
    <mergeCell ref="C2:C3"/>
    <mergeCell ref="D2:D3"/>
  </mergeCells>
  <pageMargins left="0.7" right="0.7" top="0.75" bottom="0.75" header="0.3" footer="0.3"/>
  <pageSetup paperSize="9" scale="68" orientation="portrait" r:id="rId1"/>
  <rowBreaks count="1" manualBreakCount="1">
    <brk id="27" max="13" man="1"/>
  </rowBreaks>
  <ignoredErrors>
    <ignoredError sqref="E36:I36" formulaRange="1"/>
  </ignoredErrors>
  <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313"/>
  <sheetViews>
    <sheetView showGridLines="0" rightToLeft="1" workbookViewId="0">
      <pane xSplit="25" topLeftCell="Z1" activePane="topRight" state="frozen"/>
      <selection pane="topRight" sqref="A1:M1"/>
    </sheetView>
  </sheetViews>
  <sheetFormatPr defaultColWidth="28.6640625" defaultRowHeight="5.65" customHeight="1"/>
  <cols>
    <col min="1" max="1" width="9.33203125" style="3" customWidth="1"/>
    <col min="2" max="2" width="55.5" style="3" customWidth="1"/>
    <col min="3" max="3" width="9" style="125" customWidth="1"/>
    <col min="4" max="9" width="6.6640625" style="126" customWidth="1"/>
    <col min="10" max="12" width="12.5" style="3" customWidth="1"/>
    <col min="13" max="13" width="12.33203125" style="2" customWidth="1"/>
    <col min="14" max="23" width="7.5" style="29" hidden="1" customWidth="1"/>
    <col min="24" max="25" width="10.1640625" style="30" hidden="1" customWidth="1"/>
    <col min="26" max="26" width="16.33203125" style="121" customWidth="1"/>
    <col min="27" max="27" width="28.6640625" style="2"/>
    <col min="28" max="16384" width="28.6640625" style="3"/>
  </cols>
  <sheetData>
    <row r="1" spans="1:25" ht="60.75" customHeight="1">
      <c r="A1" s="446" t="s">
        <v>292</v>
      </c>
      <c r="B1" s="446"/>
      <c r="C1" s="446"/>
      <c r="D1" s="446"/>
      <c r="E1" s="446"/>
      <c r="F1" s="446"/>
      <c r="G1" s="446"/>
      <c r="H1" s="446"/>
      <c r="I1" s="446"/>
      <c r="J1" s="446"/>
      <c r="K1" s="446"/>
      <c r="L1" s="446"/>
      <c r="M1" s="446"/>
    </row>
    <row r="2" spans="1:25" ht="33.75" customHeight="1">
      <c r="A2" s="262">
        <f>$M$66</f>
        <v>8</v>
      </c>
      <c r="B2" s="430" t="s">
        <v>134</v>
      </c>
      <c r="C2" s="383" t="s">
        <v>135</v>
      </c>
      <c r="D2" s="384" t="s">
        <v>136</v>
      </c>
      <c r="E2" s="384"/>
      <c r="F2" s="384"/>
      <c r="G2" s="384"/>
      <c r="H2" s="384" t="s">
        <v>137</v>
      </c>
      <c r="I2" s="384" t="s">
        <v>138</v>
      </c>
      <c r="J2" s="385" t="s">
        <v>139</v>
      </c>
      <c r="K2" s="385" t="s">
        <v>140</v>
      </c>
      <c r="L2" s="385" t="s">
        <v>141</v>
      </c>
      <c r="M2" s="386" t="s">
        <v>142</v>
      </c>
    </row>
    <row r="3" spans="1:25" ht="31.5" customHeight="1">
      <c r="A3" s="263" t="s">
        <v>0</v>
      </c>
      <c r="B3" s="430"/>
      <c r="C3" s="383"/>
      <c r="D3" s="208" t="s">
        <v>143</v>
      </c>
      <c r="E3" s="208" t="s">
        <v>144</v>
      </c>
      <c r="F3" s="208" t="s">
        <v>145</v>
      </c>
      <c r="G3" s="208" t="s">
        <v>146</v>
      </c>
      <c r="H3" s="384"/>
      <c r="I3" s="384"/>
      <c r="J3" s="385"/>
      <c r="K3" s="385"/>
      <c r="L3" s="385"/>
      <c r="M3" s="386"/>
      <c r="N3" s="29" t="s">
        <v>147</v>
      </c>
      <c r="O3" s="29" t="s">
        <v>148</v>
      </c>
      <c r="P3" s="29" t="s">
        <v>149</v>
      </c>
      <c r="Q3" s="29" t="s">
        <v>150</v>
      </c>
      <c r="R3" s="29" t="s">
        <v>147</v>
      </c>
      <c r="S3" s="29" t="s">
        <v>148</v>
      </c>
      <c r="T3" s="29" t="s">
        <v>149</v>
      </c>
      <c r="U3" s="29" t="s">
        <v>150</v>
      </c>
      <c r="V3" s="29" t="s">
        <v>164</v>
      </c>
      <c r="W3" s="29" t="s">
        <v>165</v>
      </c>
      <c r="X3" s="30" t="s">
        <v>153</v>
      </c>
      <c r="Y3" s="30" t="s">
        <v>154</v>
      </c>
    </row>
    <row r="4" spans="1:25" ht="54.95" customHeight="1">
      <c r="A4" s="209">
        <v>1</v>
      </c>
      <c r="B4" s="250" t="s">
        <v>293</v>
      </c>
      <c r="C4" s="265">
        <v>8.0000000000000002E-3</v>
      </c>
      <c r="D4" s="266">
        <v>0</v>
      </c>
      <c r="E4" s="266">
        <v>0</v>
      </c>
      <c r="F4" s="266">
        <v>0</v>
      </c>
      <c r="G4" s="266">
        <v>1</v>
      </c>
      <c r="H4" s="266">
        <v>1</v>
      </c>
      <c r="I4" s="266">
        <v>4</v>
      </c>
      <c r="J4" s="267">
        <v>0</v>
      </c>
      <c r="K4" s="267">
        <v>0</v>
      </c>
      <c r="L4" s="267">
        <f t="shared" ref="L4:L64" si="0">(((J4*C4)/$A$2)*D4)+(((J4*C4)/$A$2)*E4)+(((J4*C4)/$A$2)*F4)+(((J4*C4)/$A$2)*G4)</f>
        <v>0</v>
      </c>
      <c r="M4" s="268">
        <f t="shared" ref="M4:M64" si="1">(((K4*C4)/$A$2)*D4)+(((K4*C4)/$A$2)*E4)+(((K4*C4)/$A$2)*F4)+(((K4*C4)/$A$2)*G4)</f>
        <v>0</v>
      </c>
      <c r="N4" s="122">
        <f t="shared" ref="N4:N64" si="2">J4*D4*C4/$A$2</f>
        <v>0</v>
      </c>
      <c r="O4" s="122">
        <f t="shared" ref="O4:O64" si="3">J4*E4*C4/$A$2</f>
        <v>0</v>
      </c>
      <c r="P4" s="122">
        <f>J4*F4*C4/$A$2</f>
        <v>0</v>
      </c>
      <c r="Q4" s="122">
        <f t="shared" ref="Q4:Q64" si="4">J4*G4*C4/$A$2</f>
        <v>0</v>
      </c>
      <c r="R4" s="122">
        <f t="shared" ref="R4:R64" si="5">K4*D4*C4/$A$2</f>
        <v>0</v>
      </c>
      <c r="S4" s="122">
        <f t="shared" ref="S4:S64" si="6">K4*E4*C4/$A$2</f>
        <v>0</v>
      </c>
      <c r="T4" s="122">
        <f t="shared" ref="T4:T64" si="7">K4*F4*C4/$A$2</f>
        <v>0</v>
      </c>
      <c r="U4" s="122">
        <f t="shared" ref="U4:U64" si="8">K4*G4*C4/$A$2</f>
        <v>0</v>
      </c>
      <c r="V4" s="30">
        <f>((L4/15)*((I4+H4)-2))</f>
        <v>0</v>
      </c>
      <c r="W4" s="30">
        <f>((M4/15)*((I4+H4)-2))</f>
        <v>0</v>
      </c>
      <c r="X4" s="30">
        <f>L4*(V4/(V4-0.0000001))</f>
        <v>0</v>
      </c>
      <c r="Y4" s="30">
        <f>M4*(W4/(W4-0.0000001))</f>
        <v>0</v>
      </c>
    </row>
    <row r="5" spans="1:25" ht="54.95" customHeight="1">
      <c r="A5" s="209">
        <v>2</v>
      </c>
      <c r="B5" s="250" t="s">
        <v>294</v>
      </c>
      <c r="C5" s="265">
        <v>4.8000000000000001E-2</v>
      </c>
      <c r="D5" s="266">
        <v>0</v>
      </c>
      <c r="E5" s="266">
        <v>0</v>
      </c>
      <c r="F5" s="266">
        <v>0</v>
      </c>
      <c r="G5" s="266">
        <v>1</v>
      </c>
      <c r="H5" s="266">
        <v>1</v>
      </c>
      <c r="I5" s="266">
        <v>4</v>
      </c>
      <c r="J5" s="267">
        <v>0</v>
      </c>
      <c r="K5" s="267">
        <v>0</v>
      </c>
      <c r="L5" s="267">
        <f t="shared" si="0"/>
        <v>0</v>
      </c>
      <c r="M5" s="268">
        <f t="shared" si="1"/>
        <v>0</v>
      </c>
      <c r="N5" s="122">
        <f t="shared" si="2"/>
        <v>0</v>
      </c>
      <c r="O5" s="122">
        <f t="shared" si="3"/>
        <v>0</v>
      </c>
      <c r="P5" s="122">
        <f t="shared" ref="P5:P64" si="9">J5*F5*C5/$A$2</f>
        <v>0</v>
      </c>
      <c r="Q5" s="122">
        <f t="shared" si="4"/>
        <v>0</v>
      </c>
      <c r="R5" s="122">
        <f t="shared" si="5"/>
        <v>0</v>
      </c>
      <c r="S5" s="122">
        <f t="shared" si="6"/>
        <v>0</v>
      </c>
      <c r="T5" s="122">
        <f t="shared" si="7"/>
        <v>0</v>
      </c>
      <c r="U5" s="122">
        <f t="shared" si="8"/>
        <v>0</v>
      </c>
      <c r="V5" s="30">
        <f t="shared" ref="V5:V64" si="10">((L5/15)*((I5+H5)-2))</f>
        <v>0</v>
      </c>
      <c r="W5" s="30">
        <f t="shared" ref="W5:W64" si="11">((M5/15)*((I5+H5)-2))</f>
        <v>0</v>
      </c>
      <c r="X5" s="30">
        <f t="shared" ref="X5:Y64" si="12">L5*(V5/(V5-0.0000001))</f>
        <v>0</v>
      </c>
      <c r="Y5" s="30">
        <f t="shared" si="12"/>
        <v>0</v>
      </c>
    </row>
    <row r="6" spans="1:25" ht="54.95" customHeight="1">
      <c r="A6" s="209">
        <v>3</v>
      </c>
      <c r="B6" s="250" t="s">
        <v>295</v>
      </c>
      <c r="C6" s="265">
        <v>8.0000000000000002E-3</v>
      </c>
      <c r="D6" s="266">
        <v>0</v>
      </c>
      <c r="E6" s="266">
        <v>0</v>
      </c>
      <c r="F6" s="266">
        <v>0</v>
      </c>
      <c r="G6" s="266">
        <v>1</v>
      </c>
      <c r="H6" s="266">
        <v>1</v>
      </c>
      <c r="I6" s="266">
        <v>4</v>
      </c>
      <c r="J6" s="267">
        <v>0</v>
      </c>
      <c r="K6" s="267">
        <v>0</v>
      </c>
      <c r="L6" s="267">
        <f t="shared" si="0"/>
        <v>0</v>
      </c>
      <c r="M6" s="268">
        <f t="shared" si="1"/>
        <v>0</v>
      </c>
      <c r="N6" s="122">
        <f t="shared" si="2"/>
        <v>0</v>
      </c>
      <c r="O6" s="122">
        <f t="shared" si="3"/>
        <v>0</v>
      </c>
      <c r="P6" s="122">
        <f t="shared" si="9"/>
        <v>0</v>
      </c>
      <c r="Q6" s="122">
        <f t="shared" si="4"/>
        <v>0</v>
      </c>
      <c r="R6" s="122">
        <f t="shared" si="5"/>
        <v>0</v>
      </c>
      <c r="S6" s="122">
        <f t="shared" si="6"/>
        <v>0</v>
      </c>
      <c r="T6" s="122">
        <f t="shared" si="7"/>
        <v>0</v>
      </c>
      <c r="U6" s="122">
        <f t="shared" si="8"/>
        <v>0</v>
      </c>
      <c r="V6" s="30">
        <f t="shared" si="10"/>
        <v>0</v>
      </c>
      <c r="W6" s="30">
        <f t="shared" si="11"/>
        <v>0</v>
      </c>
      <c r="X6" s="30">
        <f t="shared" si="12"/>
        <v>0</v>
      </c>
      <c r="Y6" s="30">
        <f t="shared" si="12"/>
        <v>0</v>
      </c>
    </row>
    <row r="7" spans="1:25" ht="54.95" customHeight="1">
      <c r="A7" s="209">
        <v>4</v>
      </c>
      <c r="B7" s="250" t="s">
        <v>296</v>
      </c>
      <c r="C7" s="265">
        <v>8.0000000000000002E-3</v>
      </c>
      <c r="D7" s="266">
        <v>0</v>
      </c>
      <c r="E7" s="266">
        <v>0</v>
      </c>
      <c r="F7" s="266">
        <v>0</v>
      </c>
      <c r="G7" s="266">
        <v>1</v>
      </c>
      <c r="H7" s="266">
        <v>1</v>
      </c>
      <c r="I7" s="266">
        <v>4</v>
      </c>
      <c r="J7" s="267">
        <v>0</v>
      </c>
      <c r="K7" s="267">
        <v>0</v>
      </c>
      <c r="L7" s="267">
        <f t="shared" si="0"/>
        <v>0</v>
      </c>
      <c r="M7" s="268">
        <f t="shared" si="1"/>
        <v>0</v>
      </c>
      <c r="N7" s="122">
        <f t="shared" si="2"/>
        <v>0</v>
      </c>
      <c r="O7" s="122">
        <f t="shared" si="3"/>
        <v>0</v>
      </c>
      <c r="P7" s="122">
        <f t="shared" si="9"/>
        <v>0</v>
      </c>
      <c r="Q7" s="122">
        <f t="shared" si="4"/>
        <v>0</v>
      </c>
      <c r="R7" s="122">
        <f t="shared" si="5"/>
        <v>0</v>
      </c>
      <c r="S7" s="122">
        <f t="shared" si="6"/>
        <v>0</v>
      </c>
      <c r="T7" s="122">
        <f t="shared" si="7"/>
        <v>0</v>
      </c>
      <c r="U7" s="122">
        <f t="shared" si="8"/>
        <v>0</v>
      </c>
      <c r="V7" s="30">
        <f t="shared" si="10"/>
        <v>0</v>
      </c>
      <c r="W7" s="30">
        <f t="shared" si="11"/>
        <v>0</v>
      </c>
      <c r="X7" s="30">
        <f t="shared" si="12"/>
        <v>0</v>
      </c>
      <c r="Y7" s="30">
        <f t="shared" si="12"/>
        <v>0</v>
      </c>
    </row>
    <row r="8" spans="1:25" ht="54.95" customHeight="1">
      <c r="A8" s="209">
        <v>5</v>
      </c>
      <c r="B8" s="250" t="s">
        <v>297</v>
      </c>
      <c r="C8" s="265">
        <v>4.8000000000000001E-2</v>
      </c>
      <c r="D8" s="266">
        <v>0</v>
      </c>
      <c r="E8" s="266">
        <v>0</v>
      </c>
      <c r="F8" s="266">
        <v>0</v>
      </c>
      <c r="G8" s="266">
        <v>1</v>
      </c>
      <c r="H8" s="266">
        <v>1</v>
      </c>
      <c r="I8" s="266">
        <v>4</v>
      </c>
      <c r="J8" s="267">
        <v>0</v>
      </c>
      <c r="K8" s="267">
        <v>0</v>
      </c>
      <c r="L8" s="267">
        <f t="shared" si="0"/>
        <v>0</v>
      </c>
      <c r="M8" s="268">
        <f t="shared" si="1"/>
        <v>0</v>
      </c>
      <c r="N8" s="122">
        <f t="shared" si="2"/>
        <v>0</v>
      </c>
      <c r="O8" s="122">
        <f t="shared" si="3"/>
        <v>0</v>
      </c>
      <c r="P8" s="122">
        <f t="shared" si="9"/>
        <v>0</v>
      </c>
      <c r="Q8" s="122">
        <f t="shared" si="4"/>
        <v>0</v>
      </c>
      <c r="R8" s="122">
        <f t="shared" si="5"/>
        <v>0</v>
      </c>
      <c r="S8" s="122">
        <f t="shared" si="6"/>
        <v>0</v>
      </c>
      <c r="T8" s="122">
        <f t="shared" si="7"/>
        <v>0</v>
      </c>
      <c r="U8" s="122">
        <f t="shared" si="8"/>
        <v>0</v>
      </c>
      <c r="V8" s="30">
        <f t="shared" si="10"/>
        <v>0</v>
      </c>
      <c r="W8" s="30">
        <f t="shared" si="11"/>
        <v>0</v>
      </c>
      <c r="X8" s="30">
        <f t="shared" si="12"/>
        <v>0</v>
      </c>
      <c r="Y8" s="30">
        <f t="shared" si="12"/>
        <v>0</v>
      </c>
    </row>
    <row r="9" spans="1:25" ht="54.95" customHeight="1">
      <c r="A9" s="209">
        <v>6</v>
      </c>
      <c r="B9" s="250" t="s">
        <v>298</v>
      </c>
      <c r="C9" s="265">
        <v>0.15</v>
      </c>
      <c r="D9" s="266">
        <v>0</v>
      </c>
      <c r="E9" s="266">
        <v>0</v>
      </c>
      <c r="F9" s="266">
        <v>0</v>
      </c>
      <c r="G9" s="266">
        <v>1</v>
      </c>
      <c r="H9" s="266">
        <v>1</v>
      </c>
      <c r="I9" s="266">
        <v>4</v>
      </c>
      <c r="J9" s="267">
        <v>0</v>
      </c>
      <c r="K9" s="267">
        <v>0</v>
      </c>
      <c r="L9" s="267">
        <f t="shared" si="0"/>
        <v>0</v>
      </c>
      <c r="M9" s="268">
        <f t="shared" si="1"/>
        <v>0</v>
      </c>
      <c r="N9" s="122">
        <f t="shared" si="2"/>
        <v>0</v>
      </c>
      <c r="O9" s="122">
        <f t="shared" si="3"/>
        <v>0</v>
      </c>
      <c r="P9" s="122">
        <f t="shared" si="9"/>
        <v>0</v>
      </c>
      <c r="Q9" s="122">
        <f t="shared" si="4"/>
        <v>0</v>
      </c>
      <c r="R9" s="122">
        <f t="shared" si="5"/>
        <v>0</v>
      </c>
      <c r="S9" s="122">
        <f t="shared" si="6"/>
        <v>0</v>
      </c>
      <c r="T9" s="122">
        <f t="shared" si="7"/>
        <v>0</v>
      </c>
      <c r="U9" s="122">
        <f t="shared" si="8"/>
        <v>0</v>
      </c>
      <c r="V9" s="30">
        <f t="shared" si="10"/>
        <v>0</v>
      </c>
      <c r="W9" s="30">
        <f t="shared" si="11"/>
        <v>0</v>
      </c>
      <c r="X9" s="30">
        <f t="shared" si="12"/>
        <v>0</v>
      </c>
      <c r="Y9" s="30">
        <f t="shared" si="12"/>
        <v>0</v>
      </c>
    </row>
    <row r="10" spans="1:25" ht="54.95" customHeight="1">
      <c r="A10" s="209">
        <v>7</v>
      </c>
      <c r="B10" s="250" t="s">
        <v>299</v>
      </c>
      <c r="C10" s="265">
        <v>0.15</v>
      </c>
      <c r="D10" s="266">
        <v>0</v>
      </c>
      <c r="E10" s="266">
        <v>0</v>
      </c>
      <c r="F10" s="266">
        <v>0</v>
      </c>
      <c r="G10" s="266">
        <v>1</v>
      </c>
      <c r="H10" s="266">
        <v>1</v>
      </c>
      <c r="I10" s="266">
        <v>4</v>
      </c>
      <c r="J10" s="267">
        <v>0</v>
      </c>
      <c r="K10" s="267">
        <v>0</v>
      </c>
      <c r="L10" s="267">
        <f t="shared" si="0"/>
        <v>0</v>
      </c>
      <c r="M10" s="268">
        <f t="shared" si="1"/>
        <v>0</v>
      </c>
      <c r="N10" s="122">
        <f t="shared" si="2"/>
        <v>0</v>
      </c>
      <c r="O10" s="122">
        <f t="shared" si="3"/>
        <v>0</v>
      </c>
      <c r="P10" s="122">
        <f t="shared" si="9"/>
        <v>0</v>
      </c>
      <c r="Q10" s="122">
        <f t="shared" si="4"/>
        <v>0</v>
      </c>
      <c r="R10" s="122">
        <f t="shared" si="5"/>
        <v>0</v>
      </c>
      <c r="S10" s="122">
        <f t="shared" si="6"/>
        <v>0</v>
      </c>
      <c r="T10" s="122">
        <f t="shared" si="7"/>
        <v>0</v>
      </c>
      <c r="U10" s="122">
        <f t="shared" si="8"/>
        <v>0</v>
      </c>
      <c r="V10" s="30">
        <f t="shared" si="10"/>
        <v>0</v>
      </c>
      <c r="W10" s="30">
        <f t="shared" si="11"/>
        <v>0</v>
      </c>
      <c r="X10" s="30">
        <f t="shared" si="12"/>
        <v>0</v>
      </c>
      <c r="Y10" s="30">
        <f t="shared" si="12"/>
        <v>0</v>
      </c>
    </row>
    <row r="11" spans="1:25" ht="54.95" customHeight="1">
      <c r="A11" s="209">
        <v>8</v>
      </c>
      <c r="B11" s="250" t="s">
        <v>300</v>
      </c>
      <c r="C11" s="265">
        <v>4.8000000000000001E-2</v>
      </c>
      <c r="D11" s="266">
        <v>0</v>
      </c>
      <c r="E11" s="266">
        <v>0</v>
      </c>
      <c r="F11" s="266">
        <v>0</v>
      </c>
      <c r="G11" s="266">
        <v>1</v>
      </c>
      <c r="H11" s="266">
        <v>1</v>
      </c>
      <c r="I11" s="266">
        <v>4</v>
      </c>
      <c r="J11" s="267">
        <v>0</v>
      </c>
      <c r="K11" s="267">
        <v>0</v>
      </c>
      <c r="L11" s="267">
        <f t="shared" si="0"/>
        <v>0</v>
      </c>
      <c r="M11" s="268">
        <f t="shared" si="1"/>
        <v>0</v>
      </c>
      <c r="N11" s="122">
        <f t="shared" si="2"/>
        <v>0</v>
      </c>
      <c r="O11" s="122">
        <f t="shared" si="3"/>
        <v>0</v>
      </c>
      <c r="P11" s="122">
        <f t="shared" si="9"/>
        <v>0</v>
      </c>
      <c r="Q11" s="122">
        <f t="shared" si="4"/>
        <v>0</v>
      </c>
      <c r="R11" s="122">
        <f t="shared" si="5"/>
        <v>0</v>
      </c>
      <c r="S11" s="122">
        <f t="shared" si="6"/>
        <v>0</v>
      </c>
      <c r="T11" s="122">
        <f t="shared" si="7"/>
        <v>0</v>
      </c>
      <c r="U11" s="122">
        <f t="shared" si="8"/>
        <v>0</v>
      </c>
      <c r="V11" s="30">
        <f t="shared" si="10"/>
        <v>0</v>
      </c>
      <c r="W11" s="30">
        <f t="shared" si="11"/>
        <v>0</v>
      </c>
      <c r="X11" s="30">
        <f t="shared" si="12"/>
        <v>0</v>
      </c>
      <c r="Y11" s="30">
        <f t="shared" si="12"/>
        <v>0</v>
      </c>
    </row>
    <row r="12" spans="1:25" ht="54.95" customHeight="1">
      <c r="A12" s="209">
        <v>9</v>
      </c>
      <c r="B12" s="250" t="s">
        <v>301</v>
      </c>
      <c r="C12" s="265">
        <v>4.8000000000000001E-2</v>
      </c>
      <c r="D12" s="266">
        <v>0</v>
      </c>
      <c r="E12" s="266">
        <v>0</v>
      </c>
      <c r="F12" s="266">
        <v>0</v>
      </c>
      <c r="G12" s="266">
        <v>0</v>
      </c>
      <c r="H12" s="266">
        <v>1</v>
      </c>
      <c r="I12" s="266">
        <v>1</v>
      </c>
      <c r="J12" s="267">
        <v>0</v>
      </c>
      <c r="K12" s="267">
        <v>0</v>
      </c>
      <c r="L12" s="267">
        <f t="shared" si="0"/>
        <v>0</v>
      </c>
      <c r="M12" s="268">
        <f t="shared" si="1"/>
        <v>0</v>
      </c>
      <c r="N12" s="122">
        <f t="shared" si="2"/>
        <v>0</v>
      </c>
      <c r="O12" s="122">
        <f t="shared" si="3"/>
        <v>0</v>
      </c>
      <c r="P12" s="122">
        <f t="shared" si="9"/>
        <v>0</v>
      </c>
      <c r="Q12" s="122">
        <f t="shared" si="4"/>
        <v>0</v>
      </c>
      <c r="R12" s="122">
        <f t="shared" si="5"/>
        <v>0</v>
      </c>
      <c r="S12" s="122">
        <f t="shared" si="6"/>
        <v>0</v>
      </c>
      <c r="T12" s="122">
        <f t="shared" si="7"/>
        <v>0</v>
      </c>
      <c r="U12" s="122">
        <f t="shared" si="8"/>
        <v>0</v>
      </c>
      <c r="V12" s="30">
        <f t="shared" si="10"/>
        <v>0</v>
      </c>
      <c r="W12" s="30">
        <f t="shared" si="11"/>
        <v>0</v>
      </c>
      <c r="X12" s="30">
        <f t="shared" si="12"/>
        <v>0</v>
      </c>
      <c r="Y12" s="30">
        <f t="shared" si="12"/>
        <v>0</v>
      </c>
    </row>
    <row r="13" spans="1:25" ht="54.95" customHeight="1">
      <c r="A13" s="209">
        <v>10</v>
      </c>
      <c r="B13" s="250" t="s">
        <v>302</v>
      </c>
      <c r="C13" s="265">
        <v>8.0000000000000002E-3</v>
      </c>
      <c r="D13" s="266">
        <v>0</v>
      </c>
      <c r="E13" s="266">
        <v>0</v>
      </c>
      <c r="F13" s="266">
        <v>0</v>
      </c>
      <c r="G13" s="266">
        <v>0</v>
      </c>
      <c r="H13" s="266">
        <v>1</v>
      </c>
      <c r="I13" s="266">
        <v>1</v>
      </c>
      <c r="J13" s="267">
        <v>0</v>
      </c>
      <c r="K13" s="267">
        <v>0</v>
      </c>
      <c r="L13" s="267">
        <f t="shared" si="0"/>
        <v>0</v>
      </c>
      <c r="M13" s="268">
        <f t="shared" si="1"/>
        <v>0</v>
      </c>
      <c r="N13" s="122">
        <f t="shared" si="2"/>
        <v>0</v>
      </c>
      <c r="O13" s="122">
        <f t="shared" si="3"/>
        <v>0</v>
      </c>
      <c r="P13" s="122">
        <f t="shared" si="9"/>
        <v>0</v>
      </c>
      <c r="Q13" s="122">
        <f t="shared" si="4"/>
        <v>0</v>
      </c>
      <c r="R13" s="122">
        <f t="shared" si="5"/>
        <v>0</v>
      </c>
      <c r="S13" s="122">
        <f t="shared" si="6"/>
        <v>0</v>
      </c>
      <c r="T13" s="122">
        <f t="shared" si="7"/>
        <v>0</v>
      </c>
      <c r="U13" s="122">
        <f t="shared" si="8"/>
        <v>0</v>
      </c>
      <c r="V13" s="30">
        <f t="shared" si="10"/>
        <v>0</v>
      </c>
      <c r="W13" s="30">
        <f t="shared" si="11"/>
        <v>0</v>
      </c>
      <c r="X13" s="30">
        <f t="shared" si="12"/>
        <v>0</v>
      </c>
      <c r="Y13" s="30">
        <f t="shared" si="12"/>
        <v>0</v>
      </c>
    </row>
    <row r="14" spans="1:25" ht="54.95" customHeight="1">
      <c r="A14" s="209">
        <v>11</v>
      </c>
      <c r="B14" s="250" t="s">
        <v>303</v>
      </c>
      <c r="C14" s="265">
        <v>4.8000000000000001E-2</v>
      </c>
      <c r="D14" s="266">
        <v>0</v>
      </c>
      <c r="E14" s="266">
        <v>0</v>
      </c>
      <c r="F14" s="266">
        <v>0</v>
      </c>
      <c r="G14" s="266">
        <v>0</v>
      </c>
      <c r="H14" s="266">
        <v>1</v>
      </c>
      <c r="I14" s="266">
        <v>1</v>
      </c>
      <c r="J14" s="267">
        <v>0</v>
      </c>
      <c r="K14" s="267">
        <v>0</v>
      </c>
      <c r="L14" s="267">
        <f t="shared" si="0"/>
        <v>0</v>
      </c>
      <c r="M14" s="268">
        <f t="shared" si="1"/>
        <v>0</v>
      </c>
      <c r="N14" s="122">
        <f t="shared" si="2"/>
        <v>0</v>
      </c>
      <c r="O14" s="122">
        <f t="shared" si="3"/>
        <v>0</v>
      </c>
      <c r="P14" s="122">
        <f t="shared" si="9"/>
        <v>0</v>
      </c>
      <c r="Q14" s="122">
        <f t="shared" si="4"/>
        <v>0</v>
      </c>
      <c r="R14" s="122">
        <f t="shared" si="5"/>
        <v>0</v>
      </c>
      <c r="S14" s="122">
        <f t="shared" si="6"/>
        <v>0</v>
      </c>
      <c r="T14" s="122">
        <f t="shared" si="7"/>
        <v>0</v>
      </c>
      <c r="U14" s="122">
        <f t="shared" si="8"/>
        <v>0</v>
      </c>
      <c r="V14" s="30">
        <f t="shared" si="10"/>
        <v>0</v>
      </c>
      <c r="W14" s="30">
        <f t="shared" si="11"/>
        <v>0</v>
      </c>
      <c r="X14" s="30">
        <f t="shared" si="12"/>
        <v>0</v>
      </c>
      <c r="Y14" s="30">
        <f t="shared" si="12"/>
        <v>0</v>
      </c>
    </row>
    <row r="15" spans="1:25" ht="54.95" customHeight="1">
      <c r="A15" s="209">
        <v>12</v>
      </c>
      <c r="B15" s="250" t="s">
        <v>304</v>
      </c>
      <c r="C15" s="265">
        <v>4.8000000000000001E-2</v>
      </c>
      <c r="D15" s="266">
        <v>0</v>
      </c>
      <c r="E15" s="266">
        <v>0</v>
      </c>
      <c r="F15" s="266">
        <v>0</v>
      </c>
      <c r="G15" s="266">
        <v>0</v>
      </c>
      <c r="H15" s="266">
        <v>1</v>
      </c>
      <c r="I15" s="266">
        <v>1</v>
      </c>
      <c r="J15" s="267">
        <v>0</v>
      </c>
      <c r="K15" s="267">
        <v>0</v>
      </c>
      <c r="L15" s="267">
        <f t="shared" si="0"/>
        <v>0</v>
      </c>
      <c r="M15" s="268">
        <f t="shared" si="1"/>
        <v>0</v>
      </c>
      <c r="N15" s="122">
        <f t="shared" si="2"/>
        <v>0</v>
      </c>
      <c r="O15" s="122">
        <f t="shared" si="3"/>
        <v>0</v>
      </c>
      <c r="P15" s="122">
        <f t="shared" si="9"/>
        <v>0</v>
      </c>
      <c r="Q15" s="122">
        <f t="shared" si="4"/>
        <v>0</v>
      </c>
      <c r="R15" s="122">
        <f t="shared" si="5"/>
        <v>0</v>
      </c>
      <c r="S15" s="122">
        <f t="shared" si="6"/>
        <v>0</v>
      </c>
      <c r="T15" s="122">
        <f t="shared" si="7"/>
        <v>0</v>
      </c>
      <c r="U15" s="122">
        <f t="shared" si="8"/>
        <v>0</v>
      </c>
      <c r="V15" s="30">
        <f t="shared" si="10"/>
        <v>0</v>
      </c>
      <c r="W15" s="30">
        <f t="shared" si="11"/>
        <v>0</v>
      </c>
      <c r="X15" s="30">
        <f t="shared" si="12"/>
        <v>0</v>
      </c>
      <c r="Y15" s="30">
        <f t="shared" si="12"/>
        <v>0</v>
      </c>
    </row>
    <row r="16" spans="1:25" ht="54.95" customHeight="1">
      <c r="A16" s="209">
        <v>13</v>
      </c>
      <c r="B16" s="250" t="s">
        <v>305</v>
      </c>
      <c r="C16" s="265">
        <v>8.0000000000000002E-3</v>
      </c>
      <c r="D16" s="266">
        <v>0</v>
      </c>
      <c r="E16" s="266">
        <v>0</v>
      </c>
      <c r="F16" s="266">
        <v>0</v>
      </c>
      <c r="G16" s="266">
        <v>0</v>
      </c>
      <c r="H16" s="266">
        <v>1</v>
      </c>
      <c r="I16" s="266">
        <v>1</v>
      </c>
      <c r="J16" s="267">
        <v>0</v>
      </c>
      <c r="K16" s="267">
        <v>0</v>
      </c>
      <c r="L16" s="267">
        <f t="shared" si="0"/>
        <v>0</v>
      </c>
      <c r="M16" s="268">
        <f t="shared" si="1"/>
        <v>0</v>
      </c>
      <c r="N16" s="122">
        <f t="shared" si="2"/>
        <v>0</v>
      </c>
      <c r="O16" s="122">
        <f t="shared" si="3"/>
        <v>0</v>
      </c>
      <c r="P16" s="122">
        <f t="shared" si="9"/>
        <v>0</v>
      </c>
      <c r="Q16" s="122">
        <f t="shared" si="4"/>
        <v>0</v>
      </c>
      <c r="R16" s="122">
        <f t="shared" si="5"/>
        <v>0</v>
      </c>
      <c r="S16" s="122">
        <f t="shared" si="6"/>
        <v>0</v>
      </c>
      <c r="T16" s="122">
        <f t="shared" si="7"/>
        <v>0</v>
      </c>
      <c r="U16" s="122">
        <f t="shared" si="8"/>
        <v>0</v>
      </c>
      <c r="V16" s="30">
        <f t="shared" si="10"/>
        <v>0</v>
      </c>
      <c r="W16" s="30">
        <f t="shared" si="11"/>
        <v>0</v>
      </c>
      <c r="X16" s="30">
        <f t="shared" si="12"/>
        <v>0</v>
      </c>
      <c r="Y16" s="30">
        <f t="shared" si="12"/>
        <v>0</v>
      </c>
    </row>
    <row r="17" spans="1:25" ht="54.95" customHeight="1">
      <c r="A17" s="209">
        <v>14</v>
      </c>
      <c r="B17" s="250" t="s">
        <v>306</v>
      </c>
      <c r="C17" s="265">
        <v>4.8000000000000001E-2</v>
      </c>
      <c r="D17" s="266">
        <v>0</v>
      </c>
      <c r="E17" s="266">
        <v>0</v>
      </c>
      <c r="F17" s="266">
        <v>0</v>
      </c>
      <c r="G17" s="266">
        <v>0</v>
      </c>
      <c r="H17" s="266">
        <v>1</v>
      </c>
      <c r="I17" s="266">
        <v>1</v>
      </c>
      <c r="J17" s="267">
        <v>0</v>
      </c>
      <c r="K17" s="267">
        <v>0</v>
      </c>
      <c r="L17" s="267">
        <f t="shared" si="0"/>
        <v>0</v>
      </c>
      <c r="M17" s="268">
        <f t="shared" si="1"/>
        <v>0</v>
      </c>
      <c r="N17" s="122">
        <f t="shared" si="2"/>
        <v>0</v>
      </c>
      <c r="O17" s="122">
        <f t="shared" si="3"/>
        <v>0</v>
      </c>
      <c r="P17" s="122">
        <f t="shared" si="9"/>
        <v>0</v>
      </c>
      <c r="Q17" s="122">
        <f t="shared" si="4"/>
        <v>0</v>
      </c>
      <c r="R17" s="122">
        <f t="shared" si="5"/>
        <v>0</v>
      </c>
      <c r="S17" s="122">
        <f t="shared" si="6"/>
        <v>0</v>
      </c>
      <c r="T17" s="122">
        <f t="shared" si="7"/>
        <v>0</v>
      </c>
      <c r="U17" s="122">
        <f t="shared" si="8"/>
        <v>0</v>
      </c>
      <c r="V17" s="30">
        <f t="shared" si="10"/>
        <v>0</v>
      </c>
      <c r="W17" s="30">
        <f t="shared" si="11"/>
        <v>0</v>
      </c>
      <c r="X17" s="30">
        <f t="shared" si="12"/>
        <v>0</v>
      </c>
      <c r="Y17" s="30">
        <f t="shared" si="12"/>
        <v>0</v>
      </c>
    </row>
    <row r="18" spans="1:25" ht="54.95" customHeight="1">
      <c r="A18" s="209">
        <v>15</v>
      </c>
      <c r="B18" s="250" t="s">
        <v>307</v>
      </c>
      <c r="C18" s="265">
        <v>8.0000000000000002E-3</v>
      </c>
      <c r="D18" s="266">
        <v>0</v>
      </c>
      <c r="E18" s="266">
        <v>0</v>
      </c>
      <c r="F18" s="266">
        <v>0</v>
      </c>
      <c r="G18" s="266">
        <v>0</v>
      </c>
      <c r="H18" s="266">
        <v>1</v>
      </c>
      <c r="I18" s="266">
        <v>1</v>
      </c>
      <c r="J18" s="267">
        <v>0</v>
      </c>
      <c r="K18" s="267">
        <v>0</v>
      </c>
      <c r="L18" s="267">
        <f t="shared" si="0"/>
        <v>0</v>
      </c>
      <c r="M18" s="268">
        <f t="shared" si="1"/>
        <v>0</v>
      </c>
      <c r="N18" s="122">
        <f t="shared" si="2"/>
        <v>0</v>
      </c>
      <c r="O18" s="122">
        <f t="shared" si="3"/>
        <v>0</v>
      </c>
      <c r="P18" s="122">
        <f t="shared" si="9"/>
        <v>0</v>
      </c>
      <c r="Q18" s="122">
        <f t="shared" si="4"/>
        <v>0</v>
      </c>
      <c r="R18" s="122">
        <f t="shared" si="5"/>
        <v>0</v>
      </c>
      <c r="S18" s="122">
        <f t="shared" si="6"/>
        <v>0</v>
      </c>
      <c r="T18" s="122">
        <f t="shared" si="7"/>
        <v>0</v>
      </c>
      <c r="U18" s="122">
        <f t="shared" si="8"/>
        <v>0</v>
      </c>
      <c r="V18" s="30">
        <f t="shared" si="10"/>
        <v>0</v>
      </c>
      <c r="W18" s="30">
        <f t="shared" si="11"/>
        <v>0</v>
      </c>
      <c r="X18" s="30">
        <f t="shared" si="12"/>
        <v>0</v>
      </c>
      <c r="Y18" s="30">
        <f t="shared" si="12"/>
        <v>0</v>
      </c>
    </row>
    <row r="19" spans="1:25" ht="54.95" customHeight="1">
      <c r="A19" s="209">
        <v>16</v>
      </c>
      <c r="B19" s="250" t="s">
        <v>308</v>
      </c>
      <c r="C19" s="265">
        <v>8.0000000000000002E-3</v>
      </c>
      <c r="D19" s="266">
        <v>0</v>
      </c>
      <c r="E19" s="266">
        <v>0</v>
      </c>
      <c r="F19" s="266">
        <v>0</v>
      </c>
      <c r="G19" s="266">
        <v>0</v>
      </c>
      <c r="H19" s="266">
        <v>1</v>
      </c>
      <c r="I19" s="266">
        <v>1</v>
      </c>
      <c r="J19" s="267">
        <v>0</v>
      </c>
      <c r="K19" s="267">
        <v>0</v>
      </c>
      <c r="L19" s="267">
        <f t="shared" si="0"/>
        <v>0</v>
      </c>
      <c r="M19" s="268">
        <f t="shared" si="1"/>
        <v>0</v>
      </c>
      <c r="N19" s="122">
        <f t="shared" si="2"/>
        <v>0</v>
      </c>
      <c r="O19" s="122">
        <f t="shared" si="3"/>
        <v>0</v>
      </c>
      <c r="P19" s="122">
        <f t="shared" si="9"/>
        <v>0</v>
      </c>
      <c r="Q19" s="122">
        <f t="shared" si="4"/>
        <v>0</v>
      </c>
      <c r="R19" s="122">
        <f t="shared" si="5"/>
        <v>0</v>
      </c>
      <c r="S19" s="122">
        <f t="shared" si="6"/>
        <v>0</v>
      </c>
      <c r="T19" s="122">
        <f t="shared" si="7"/>
        <v>0</v>
      </c>
      <c r="U19" s="122">
        <f t="shared" si="8"/>
        <v>0</v>
      </c>
      <c r="V19" s="30">
        <f t="shared" si="10"/>
        <v>0</v>
      </c>
      <c r="W19" s="30">
        <f t="shared" si="11"/>
        <v>0</v>
      </c>
      <c r="X19" s="30">
        <f t="shared" si="12"/>
        <v>0</v>
      </c>
      <c r="Y19" s="30">
        <f t="shared" si="12"/>
        <v>0</v>
      </c>
    </row>
    <row r="20" spans="1:25" ht="54.95" customHeight="1">
      <c r="A20" s="209">
        <v>17</v>
      </c>
      <c r="B20" s="250" t="s">
        <v>309</v>
      </c>
      <c r="C20" s="265">
        <v>4.8000000000000001E-2</v>
      </c>
      <c r="D20" s="266">
        <v>0</v>
      </c>
      <c r="E20" s="266">
        <v>0</v>
      </c>
      <c r="F20" s="266">
        <v>0</v>
      </c>
      <c r="G20" s="266">
        <v>0</v>
      </c>
      <c r="H20" s="266">
        <v>1</v>
      </c>
      <c r="I20" s="266">
        <v>1</v>
      </c>
      <c r="J20" s="267">
        <v>0</v>
      </c>
      <c r="K20" s="267">
        <v>0</v>
      </c>
      <c r="L20" s="267">
        <f t="shared" si="0"/>
        <v>0</v>
      </c>
      <c r="M20" s="268">
        <f t="shared" si="1"/>
        <v>0</v>
      </c>
      <c r="N20" s="122">
        <f t="shared" si="2"/>
        <v>0</v>
      </c>
      <c r="O20" s="122">
        <f t="shared" si="3"/>
        <v>0</v>
      </c>
      <c r="P20" s="122">
        <f t="shared" si="9"/>
        <v>0</v>
      </c>
      <c r="Q20" s="122">
        <f t="shared" si="4"/>
        <v>0</v>
      </c>
      <c r="R20" s="122">
        <f t="shared" si="5"/>
        <v>0</v>
      </c>
      <c r="S20" s="122">
        <f t="shared" si="6"/>
        <v>0</v>
      </c>
      <c r="T20" s="122">
        <f t="shared" si="7"/>
        <v>0</v>
      </c>
      <c r="U20" s="122">
        <f t="shared" si="8"/>
        <v>0</v>
      </c>
      <c r="V20" s="30">
        <f t="shared" si="10"/>
        <v>0</v>
      </c>
      <c r="W20" s="30">
        <f t="shared" si="11"/>
        <v>0</v>
      </c>
      <c r="X20" s="30">
        <f t="shared" si="12"/>
        <v>0</v>
      </c>
      <c r="Y20" s="30">
        <f t="shared" si="12"/>
        <v>0</v>
      </c>
    </row>
    <row r="21" spans="1:25" ht="54.95" customHeight="1">
      <c r="A21" s="209">
        <v>18</v>
      </c>
      <c r="B21" s="250" t="s">
        <v>310</v>
      </c>
      <c r="C21" s="265">
        <v>4.8000000000000001E-2</v>
      </c>
      <c r="D21" s="266">
        <v>0</v>
      </c>
      <c r="E21" s="266">
        <v>0</v>
      </c>
      <c r="F21" s="266">
        <v>0</v>
      </c>
      <c r="G21" s="266">
        <v>0</v>
      </c>
      <c r="H21" s="266">
        <v>1</v>
      </c>
      <c r="I21" s="266">
        <v>1</v>
      </c>
      <c r="J21" s="267">
        <v>0</v>
      </c>
      <c r="K21" s="267">
        <v>0</v>
      </c>
      <c r="L21" s="267">
        <f t="shared" si="0"/>
        <v>0</v>
      </c>
      <c r="M21" s="268">
        <f t="shared" si="1"/>
        <v>0</v>
      </c>
      <c r="N21" s="122">
        <f t="shared" si="2"/>
        <v>0</v>
      </c>
      <c r="O21" s="122">
        <f t="shared" si="3"/>
        <v>0</v>
      </c>
      <c r="P21" s="122">
        <f t="shared" si="9"/>
        <v>0</v>
      </c>
      <c r="Q21" s="122">
        <f t="shared" si="4"/>
        <v>0</v>
      </c>
      <c r="R21" s="122">
        <f t="shared" si="5"/>
        <v>0</v>
      </c>
      <c r="S21" s="122">
        <f t="shared" si="6"/>
        <v>0</v>
      </c>
      <c r="T21" s="122">
        <f t="shared" si="7"/>
        <v>0</v>
      </c>
      <c r="U21" s="122">
        <f t="shared" si="8"/>
        <v>0</v>
      </c>
      <c r="V21" s="30">
        <f t="shared" si="10"/>
        <v>0</v>
      </c>
      <c r="W21" s="30">
        <f t="shared" si="11"/>
        <v>0</v>
      </c>
      <c r="X21" s="30">
        <f t="shared" si="12"/>
        <v>0</v>
      </c>
      <c r="Y21" s="30">
        <f t="shared" si="12"/>
        <v>0</v>
      </c>
    </row>
    <row r="22" spans="1:25" ht="54.95" customHeight="1">
      <c r="A22" s="209">
        <v>19</v>
      </c>
      <c r="B22" s="250" t="s">
        <v>311</v>
      </c>
      <c r="C22" s="265">
        <v>8.0000000000000002E-3</v>
      </c>
      <c r="D22" s="266">
        <v>0</v>
      </c>
      <c r="E22" s="266">
        <v>0</v>
      </c>
      <c r="F22" s="266">
        <v>0</v>
      </c>
      <c r="G22" s="266">
        <v>0</v>
      </c>
      <c r="H22" s="266">
        <v>1</v>
      </c>
      <c r="I22" s="266">
        <v>1</v>
      </c>
      <c r="J22" s="267">
        <v>0</v>
      </c>
      <c r="K22" s="267">
        <v>0</v>
      </c>
      <c r="L22" s="267">
        <f t="shared" si="0"/>
        <v>0</v>
      </c>
      <c r="M22" s="268">
        <f t="shared" si="1"/>
        <v>0</v>
      </c>
      <c r="N22" s="122">
        <f t="shared" si="2"/>
        <v>0</v>
      </c>
      <c r="O22" s="122">
        <f t="shared" si="3"/>
        <v>0</v>
      </c>
      <c r="P22" s="122">
        <f t="shared" si="9"/>
        <v>0</v>
      </c>
      <c r="Q22" s="122">
        <f t="shared" si="4"/>
        <v>0</v>
      </c>
      <c r="R22" s="122">
        <f t="shared" si="5"/>
        <v>0</v>
      </c>
      <c r="S22" s="122">
        <f t="shared" si="6"/>
        <v>0</v>
      </c>
      <c r="T22" s="122">
        <f t="shared" si="7"/>
        <v>0</v>
      </c>
      <c r="U22" s="122">
        <f t="shared" si="8"/>
        <v>0</v>
      </c>
      <c r="V22" s="30">
        <f t="shared" si="10"/>
        <v>0</v>
      </c>
      <c r="W22" s="30">
        <f t="shared" si="11"/>
        <v>0</v>
      </c>
      <c r="X22" s="30">
        <f t="shared" si="12"/>
        <v>0</v>
      </c>
      <c r="Y22" s="30">
        <f t="shared" si="12"/>
        <v>0</v>
      </c>
    </row>
    <row r="23" spans="1:25" ht="54.95" customHeight="1">
      <c r="A23" s="209">
        <v>20</v>
      </c>
      <c r="B23" s="250" t="s">
        <v>312</v>
      </c>
      <c r="C23" s="265">
        <v>8.0000000000000002E-3</v>
      </c>
      <c r="D23" s="266">
        <v>0</v>
      </c>
      <c r="E23" s="266">
        <v>0</v>
      </c>
      <c r="F23" s="266">
        <v>0</v>
      </c>
      <c r="G23" s="266">
        <v>0</v>
      </c>
      <c r="H23" s="266">
        <v>1</v>
      </c>
      <c r="I23" s="266">
        <v>1</v>
      </c>
      <c r="J23" s="267">
        <v>0</v>
      </c>
      <c r="K23" s="267">
        <v>0</v>
      </c>
      <c r="L23" s="267">
        <f t="shared" si="0"/>
        <v>0</v>
      </c>
      <c r="M23" s="268">
        <f t="shared" si="1"/>
        <v>0</v>
      </c>
      <c r="N23" s="122">
        <f t="shared" si="2"/>
        <v>0</v>
      </c>
      <c r="O23" s="122">
        <f t="shared" si="3"/>
        <v>0</v>
      </c>
      <c r="P23" s="122">
        <f t="shared" si="9"/>
        <v>0</v>
      </c>
      <c r="Q23" s="122">
        <f t="shared" si="4"/>
        <v>0</v>
      </c>
      <c r="R23" s="122">
        <f t="shared" si="5"/>
        <v>0</v>
      </c>
      <c r="S23" s="122">
        <f t="shared" si="6"/>
        <v>0</v>
      </c>
      <c r="T23" s="122">
        <f t="shared" si="7"/>
        <v>0</v>
      </c>
      <c r="U23" s="122">
        <f t="shared" si="8"/>
        <v>0</v>
      </c>
      <c r="V23" s="30">
        <f t="shared" si="10"/>
        <v>0</v>
      </c>
      <c r="W23" s="30">
        <f t="shared" si="11"/>
        <v>0</v>
      </c>
      <c r="X23" s="30">
        <f t="shared" si="12"/>
        <v>0</v>
      </c>
      <c r="Y23" s="30">
        <f t="shared" si="12"/>
        <v>0</v>
      </c>
    </row>
    <row r="24" spans="1:25" ht="54.95" customHeight="1">
      <c r="A24" s="209">
        <v>21</v>
      </c>
      <c r="B24" s="250" t="s">
        <v>313</v>
      </c>
      <c r="C24" s="265">
        <v>4.8000000000000001E-2</v>
      </c>
      <c r="D24" s="266">
        <v>0</v>
      </c>
      <c r="E24" s="266">
        <v>0</v>
      </c>
      <c r="F24" s="266">
        <v>0</v>
      </c>
      <c r="G24" s="266">
        <v>0</v>
      </c>
      <c r="H24" s="266">
        <v>1</v>
      </c>
      <c r="I24" s="266">
        <v>1</v>
      </c>
      <c r="J24" s="267">
        <v>0</v>
      </c>
      <c r="K24" s="267">
        <v>0</v>
      </c>
      <c r="L24" s="267">
        <f t="shared" si="0"/>
        <v>0</v>
      </c>
      <c r="M24" s="268">
        <f t="shared" si="1"/>
        <v>0</v>
      </c>
      <c r="N24" s="122">
        <f t="shared" si="2"/>
        <v>0</v>
      </c>
      <c r="O24" s="122">
        <f t="shared" si="3"/>
        <v>0</v>
      </c>
      <c r="P24" s="122">
        <f t="shared" si="9"/>
        <v>0</v>
      </c>
      <c r="Q24" s="122">
        <f t="shared" si="4"/>
        <v>0</v>
      </c>
      <c r="R24" s="122">
        <f t="shared" si="5"/>
        <v>0</v>
      </c>
      <c r="S24" s="122">
        <f t="shared" si="6"/>
        <v>0</v>
      </c>
      <c r="T24" s="122">
        <f t="shared" si="7"/>
        <v>0</v>
      </c>
      <c r="U24" s="122">
        <f t="shared" si="8"/>
        <v>0</v>
      </c>
      <c r="V24" s="30">
        <f t="shared" si="10"/>
        <v>0</v>
      </c>
      <c r="W24" s="30">
        <f t="shared" si="11"/>
        <v>0</v>
      </c>
      <c r="X24" s="30">
        <f t="shared" si="12"/>
        <v>0</v>
      </c>
      <c r="Y24" s="30">
        <f t="shared" si="12"/>
        <v>0</v>
      </c>
    </row>
    <row r="25" spans="1:25" ht="54.95" customHeight="1">
      <c r="A25" s="209">
        <v>22</v>
      </c>
      <c r="B25" s="250" t="s">
        <v>314</v>
      </c>
      <c r="C25" s="265">
        <v>4.8000000000000001E-2</v>
      </c>
      <c r="D25" s="266">
        <v>0</v>
      </c>
      <c r="E25" s="266">
        <v>0</v>
      </c>
      <c r="F25" s="266">
        <v>0</v>
      </c>
      <c r="G25" s="266">
        <v>0</v>
      </c>
      <c r="H25" s="266">
        <v>1</v>
      </c>
      <c r="I25" s="266">
        <v>4</v>
      </c>
      <c r="J25" s="267">
        <v>0</v>
      </c>
      <c r="K25" s="267">
        <v>0</v>
      </c>
      <c r="L25" s="267">
        <f t="shared" si="0"/>
        <v>0</v>
      </c>
      <c r="M25" s="268">
        <f t="shared" si="1"/>
        <v>0</v>
      </c>
      <c r="N25" s="122">
        <f t="shared" si="2"/>
        <v>0</v>
      </c>
      <c r="O25" s="122">
        <f t="shared" si="3"/>
        <v>0</v>
      </c>
      <c r="P25" s="122">
        <f t="shared" si="9"/>
        <v>0</v>
      </c>
      <c r="Q25" s="122">
        <f t="shared" si="4"/>
        <v>0</v>
      </c>
      <c r="R25" s="122">
        <f t="shared" si="5"/>
        <v>0</v>
      </c>
      <c r="S25" s="122">
        <f t="shared" si="6"/>
        <v>0</v>
      </c>
      <c r="T25" s="122">
        <f t="shared" si="7"/>
        <v>0</v>
      </c>
      <c r="U25" s="122">
        <f t="shared" si="8"/>
        <v>0</v>
      </c>
      <c r="V25" s="30">
        <f t="shared" si="10"/>
        <v>0</v>
      </c>
      <c r="W25" s="30">
        <f t="shared" si="11"/>
        <v>0</v>
      </c>
      <c r="X25" s="30">
        <f t="shared" si="12"/>
        <v>0</v>
      </c>
      <c r="Y25" s="30">
        <f t="shared" si="12"/>
        <v>0</v>
      </c>
    </row>
    <row r="26" spans="1:25" ht="54.95" customHeight="1">
      <c r="A26" s="209">
        <v>23</v>
      </c>
      <c r="B26" s="250" t="s">
        <v>315</v>
      </c>
      <c r="C26" s="265">
        <v>4.8000000000000001E-2</v>
      </c>
      <c r="D26" s="266">
        <v>0</v>
      </c>
      <c r="E26" s="266">
        <v>0</v>
      </c>
      <c r="F26" s="266">
        <v>0</v>
      </c>
      <c r="G26" s="266">
        <v>0</v>
      </c>
      <c r="H26" s="266">
        <v>1</v>
      </c>
      <c r="I26" s="266">
        <v>1</v>
      </c>
      <c r="J26" s="267">
        <v>0</v>
      </c>
      <c r="K26" s="267">
        <v>0</v>
      </c>
      <c r="L26" s="267">
        <f t="shared" si="0"/>
        <v>0</v>
      </c>
      <c r="M26" s="268">
        <f t="shared" si="1"/>
        <v>0</v>
      </c>
      <c r="N26" s="122">
        <f t="shared" si="2"/>
        <v>0</v>
      </c>
      <c r="O26" s="122">
        <f t="shared" si="3"/>
        <v>0</v>
      </c>
      <c r="P26" s="122">
        <f t="shared" si="9"/>
        <v>0</v>
      </c>
      <c r="Q26" s="122">
        <f t="shared" si="4"/>
        <v>0</v>
      </c>
      <c r="R26" s="122">
        <f t="shared" si="5"/>
        <v>0</v>
      </c>
      <c r="S26" s="122">
        <f t="shared" si="6"/>
        <v>0</v>
      </c>
      <c r="T26" s="122">
        <f t="shared" si="7"/>
        <v>0</v>
      </c>
      <c r="U26" s="122">
        <f t="shared" si="8"/>
        <v>0</v>
      </c>
      <c r="V26" s="30">
        <f t="shared" si="10"/>
        <v>0</v>
      </c>
      <c r="W26" s="30">
        <f t="shared" si="11"/>
        <v>0</v>
      </c>
      <c r="X26" s="30">
        <f t="shared" si="12"/>
        <v>0</v>
      </c>
      <c r="Y26" s="30">
        <f t="shared" si="12"/>
        <v>0</v>
      </c>
    </row>
    <row r="27" spans="1:25" ht="54.95" customHeight="1">
      <c r="A27" s="209">
        <v>24</v>
      </c>
      <c r="B27" s="250" t="s">
        <v>316</v>
      </c>
      <c r="C27" s="265">
        <v>0.15</v>
      </c>
      <c r="D27" s="266">
        <v>0</v>
      </c>
      <c r="E27" s="266">
        <v>0</v>
      </c>
      <c r="F27" s="266">
        <v>0</v>
      </c>
      <c r="G27" s="266">
        <v>0</v>
      </c>
      <c r="H27" s="266">
        <v>1</v>
      </c>
      <c r="I27" s="266">
        <v>1</v>
      </c>
      <c r="J27" s="267">
        <v>0</v>
      </c>
      <c r="K27" s="267">
        <v>0</v>
      </c>
      <c r="L27" s="267">
        <f t="shared" si="0"/>
        <v>0</v>
      </c>
      <c r="M27" s="268">
        <f t="shared" si="1"/>
        <v>0</v>
      </c>
      <c r="N27" s="122">
        <f t="shared" si="2"/>
        <v>0</v>
      </c>
      <c r="O27" s="122">
        <f t="shared" si="3"/>
        <v>0</v>
      </c>
      <c r="P27" s="122">
        <f t="shared" si="9"/>
        <v>0</v>
      </c>
      <c r="Q27" s="122">
        <f t="shared" si="4"/>
        <v>0</v>
      </c>
      <c r="R27" s="122">
        <f t="shared" si="5"/>
        <v>0</v>
      </c>
      <c r="S27" s="122">
        <f t="shared" si="6"/>
        <v>0</v>
      </c>
      <c r="T27" s="122">
        <f t="shared" si="7"/>
        <v>0</v>
      </c>
      <c r="U27" s="122">
        <f t="shared" si="8"/>
        <v>0</v>
      </c>
      <c r="V27" s="30">
        <f t="shared" si="10"/>
        <v>0</v>
      </c>
      <c r="W27" s="30">
        <f t="shared" si="11"/>
        <v>0</v>
      </c>
      <c r="X27" s="30">
        <f t="shared" si="12"/>
        <v>0</v>
      </c>
      <c r="Y27" s="30">
        <f t="shared" si="12"/>
        <v>0</v>
      </c>
    </row>
    <row r="28" spans="1:25" ht="54.95" customHeight="1">
      <c r="A28" s="209">
        <v>25</v>
      </c>
      <c r="B28" s="250" t="s">
        <v>317</v>
      </c>
      <c r="C28" s="265">
        <v>0.15</v>
      </c>
      <c r="D28" s="266">
        <v>0</v>
      </c>
      <c r="E28" s="266">
        <v>0</v>
      </c>
      <c r="F28" s="266">
        <v>0</v>
      </c>
      <c r="G28" s="266">
        <v>0</v>
      </c>
      <c r="H28" s="266">
        <v>1</v>
      </c>
      <c r="I28" s="266">
        <v>1</v>
      </c>
      <c r="J28" s="267">
        <v>0</v>
      </c>
      <c r="K28" s="267">
        <v>0</v>
      </c>
      <c r="L28" s="267">
        <f t="shared" si="0"/>
        <v>0</v>
      </c>
      <c r="M28" s="268">
        <f t="shared" si="1"/>
        <v>0</v>
      </c>
      <c r="N28" s="122">
        <f t="shared" si="2"/>
        <v>0</v>
      </c>
      <c r="O28" s="122">
        <f t="shared" si="3"/>
        <v>0</v>
      </c>
      <c r="P28" s="122">
        <f t="shared" si="9"/>
        <v>0</v>
      </c>
      <c r="Q28" s="122">
        <f t="shared" si="4"/>
        <v>0</v>
      </c>
      <c r="R28" s="122">
        <f t="shared" si="5"/>
        <v>0</v>
      </c>
      <c r="S28" s="122">
        <f t="shared" si="6"/>
        <v>0</v>
      </c>
      <c r="T28" s="122">
        <f t="shared" si="7"/>
        <v>0</v>
      </c>
      <c r="U28" s="122">
        <f t="shared" si="8"/>
        <v>0</v>
      </c>
      <c r="V28" s="30">
        <f t="shared" si="10"/>
        <v>0</v>
      </c>
      <c r="W28" s="30">
        <f t="shared" si="11"/>
        <v>0</v>
      </c>
      <c r="X28" s="30">
        <f t="shared" si="12"/>
        <v>0</v>
      </c>
      <c r="Y28" s="30">
        <f t="shared" si="12"/>
        <v>0</v>
      </c>
    </row>
    <row r="29" spans="1:25" ht="54.95" customHeight="1">
      <c r="A29" s="209">
        <v>26</v>
      </c>
      <c r="B29" s="250" t="s">
        <v>318</v>
      </c>
      <c r="C29" s="265">
        <v>8.0000000000000002E-3</v>
      </c>
      <c r="D29" s="266">
        <v>0</v>
      </c>
      <c r="E29" s="266">
        <v>0</v>
      </c>
      <c r="F29" s="266">
        <v>0</v>
      </c>
      <c r="G29" s="266">
        <v>1</v>
      </c>
      <c r="H29" s="266">
        <v>1</v>
      </c>
      <c r="I29" s="266">
        <v>4</v>
      </c>
      <c r="J29" s="267">
        <v>0</v>
      </c>
      <c r="K29" s="267">
        <v>0</v>
      </c>
      <c r="L29" s="267">
        <f t="shared" si="0"/>
        <v>0</v>
      </c>
      <c r="M29" s="268">
        <f t="shared" si="1"/>
        <v>0</v>
      </c>
      <c r="N29" s="122">
        <f t="shared" si="2"/>
        <v>0</v>
      </c>
      <c r="O29" s="122">
        <f t="shared" si="3"/>
        <v>0</v>
      </c>
      <c r="P29" s="122">
        <f t="shared" si="9"/>
        <v>0</v>
      </c>
      <c r="Q29" s="122">
        <f t="shared" si="4"/>
        <v>0</v>
      </c>
      <c r="R29" s="122">
        <f t="shared" si="5"/>
        <v>0</v>
      </c>
      <c r="S29" s="122">
        <f t="shared" si="6"/>
        <v>0</v>
      </c>
      <c r="T29" s="122">
        <f t="shared" si="7"/>
        <v>0</v>
      </c>
      <c r="U29" s="122">
        <f t="shared" si="8"/>
        <v>0</v>
      </c>
      <c r="V29" s="30">
        <f t="shared" si="10"/>
        <v>0</v>
      </c>
      <c r="W29" s="30">
        <f t="shared" si="11"/>
        <v>0</v>
      </c>
      <c r="X29" s="30">
        <f t="shared" si="12"/>
        <v>0</v>
      </c>
      <c r="Y29" s="30">
        <f t="shared" si="12"/>
        <v>0</v>
      </c>
    </row>
    <row r="30" spans="1:25" ht="54.95" customHeight="1">
      <c r="A30" s="209">
        <v>27</v>
      </c>
      <c r="B30" s="250" t="s">
        <v>265</v>
      </c>
      <c r="C30" s="265">
        <v>0.05</v>
      </c>
      <c r="D30" s="266">
        <v>0</v>
      </c>
      <c r="E30" s="266">
        <v>0</v>
      </c>
      <c r="F30" s="266">
        <v>0</v>
      </c>
      <c r="G30" s="266">
        <v>1</v>
      </c>
      <c r="H30" s="266">
        <v>1</v>
      </c>
      <c r="I30" s="266">
        <v>4</v>
      </c>
      <c r="J30" s="267">
        <v>0</v>
      </c>
      <c r="K30" s="267">
        <v>0</v>
      </c>
      <c r="L30" s="267">
        <f t="shared" si="0"/>
        <v>0</v>
      </c>
      <c r="M30" s="268">
        <v>0</v>
      </c>
      <c r="N30" s="122">
        <f t="shared" si="2"/>
        <v>0</v>
      </c>
      <c r="O30" s="122">
        <f t="shared" si="3"/>
        <v>0</v>
      </c>
      <c r="P30" s="122">
        <f t="shared" si="9"/>
        <v>0</v>
      </c>
      <c r="Q30" s="122">
        <f t="shared" si="4"/>
        <v>0</v>
      </c>
      <c r="R30" s="122">
        <f t="shared" si="5"/>
        <v>0</v>
      </c>
      <c r="S30" s="122">
        <f t="shared" si="6"/>
        <v>0</v>
      </c>
      <c r="T30" s="122">
        <f t="shared" si="7"/>
        <v>0</v>
      </c>
      <c r="U30" s="122">
        <f t="shared" si="8"/>
        <v>0</v>
      </c>
      <c r="V30" s="30">
        <f t="shared" si="10"/>
        <v>0</v>
      </c>
      <c r="W30" s="30">
        <f t="shared" si="11"/>
        <v>0</v>
      </c>
      <c r="X30" s="30">
        <f t="shared" si="12"/>
        <v>0</v>
      </c>
      <c r="Y30" s="30">
        <f t="shared" si="12"/>
        <v>0</v>
      </c>
    </row>
    <row r="31" spans="1:25" ht="54.95" customHeight="1">
      <c r="A31" s="209">
        <v>28</v>
      </c>
      <c r="B31" s="250" t="s">
        <v>319</v>
      </c>
      <c r="C31" s="265">
        <v>8.0000000000000002E-3</v>
      </c>
      <c r="D31" s="266">
        <v>0</v>
      </c>
      <c r="E31" s="266">
        <v>0</v>
      </c>
      <c r="F31" s="266">
        <v>0</v>
      </c>
      <c r="G31" s="266">
        <v>1</v>
      </c>
      <c r="H31" s="266">
        <v>4</v>
      </c>
      <c r="I31" s="266">
        <v>4</v>
      </c>
      <c r="J31" s="267">
        <v>0</v>
      </c>
      <c r="K31" s="267">
        <v>0</v>
      </c>
      <c r="L31" s="267">
        <f t="shared" si="0"/>
        <v>0</v>
      </c>
      <c r="M31" s="268">
        <f t="shared" si="1"/>
        <v>0</v>
      </c>
      <c r="N31" s="122">
        <f t="shared" si="2"/>
        <v>0</v>
      </c>
      <c r="O31" s="122">
        <f t="shared" si="3"/>
        <v>0</v>
      </c>
      <c r="P31" s="122">
        <f t="shared" si="9"/>
        <v>0</v>
      </c>
      <c r="Q31" s="122">
        <f t="shared" si="4"/>
        <v>0</v>
      </c>
      <c r="R31" s="122">
        <f t="shared" si="5"/>
        <v>0</v>
      </c>
      <c r="S31" s="122">
        <f t="shared" si="6"/>
        <v>0</v>
      </c>
      <c r="T31" s="122">
        <f t="shared" si="7"/>
        <v>0</v>
      </c>
      <c r="U31" s="122">
        <f t="shared" si="8"/>
        <v>0</v>
      </c>
      <c r="V31" s="30">
        <f t="shared" si="10"/>
        <v>0</v>
      </c>
      <c r="W31" s="30">
        <f t="shared" si="11"/>
        <v>0</v>
      </c>
      <c r="X31" s="30">
        <f t="shared" si="12"/>
        <v>0</v>
      </c>
      <c r="Y31" s="30">
        <f t="shared" si="12"/>
        <v>0</v>
      </c>
    </row>
    <row r="32" spans="1:25" ht="54.95" customHeight="1">
      <c r="A32" s="209">
        <v>29</v>
      </c>
      <c r="B32" s="250" t="s">
        <v>320</v>
      </c>
      <c r="C32" s="265">
        <v>0.04</v>
      </c>
      <c r="D32" s="266">
        <v>0</v>
      </c>
      <c r="E32" s="266">
        <v>0</v>
      </c>
      <c r="F32" s="266">
        <v>0</v>
      </c>
      <c r="G32" s="266">
        <v>1</v>
      </c>
      <c r="H32" s="266">
        <v>4</v>
      </c>
      <c r="I32" s="266">
        <v>4</v>
      </c>
      <c r="J32" s="267">
        <v>0</v>
      </c>
      <c r="K32" s="267">
        <v>0</v>
      </c>
      <c r="L32" s="267">
        <f t="shared" si="0"/>
        <v>0</v>
      </c>
      <c r="M32" s="268">
        <f t="shared" si="1"/>
        <v>0</v>
      </c>
      <c r="N32" s="122">
        <f t="shared" si="2"/>
        <v>0</v>
      </c>
      <c r="O32" s="122">
        <f t="shared" si="3"/>
        <v>0</v>
      </c>
      <c r="P32" s="122">
        <f t="shared" si="9"/>
        <v>0</v>
      </c>
      <c r="Q32" s="122">
        <f t="shared" si="4"/>
        <v>0</v>
      </c>
      <c r="R32" s="122">
        <f t="shared" si="5"/>
        <v>0</v>
      </c>
      <c r="S32" s="122">
        <f t="shared" si="6"/>
        <v>0</v>
      </c>
      <c r="T32" s="122">
        <f t="shared" si="7"/>
        <v>0</v>
      </c>
      <c r="U32" s="122">
        <f t="shared" si="8"/>
        <v>0</v>
      </c>
      <c r="V32" s="30">
        <f t="shared" si="10"/>
        <v>0</v>
      </c>
      <c r="W32" s="30">
        <f t="shared" si="11"/>
        <v>0</v>
      </c>
      <c r="X32" s="30">
        <f t="shared" si="12"/>
        <v>0</v>
      </c>
      <c r="Y32" s="30">
        <f t="shared" si="12"/>
        <v>0</v>
      </c>
    </row>
    <row r="33" spans="1:25" ht="54.95" customHeight="1">
      <c r="A33" s="209">
        <v>30</v>
      </c>
      <c r="B33" s="250" t="s">
        <v>321</v>
      </c>
      <c r="C33" s="265">
        <v>8.0000000000000002E-3</v>
      </c>
      <c r="D33" s="266">
        <v>0</v>
      </c>
      <c r="E33" s="266">
        <v>0</v>
      </c>
      <c r="F33" s="266">
        <v>0</v>
      </c>
      <c r="G33" s="266">
        <v>1</v>
      </c>
      <c r="H33" s="266">
        <v>4</v>
      </c>
      <c r="I33" s="266">
        <v>4</v>
      </c>
      <c r="J33" s="267">
        <v>0</v>
      </c>
      <c r="K33" s="267">
        <v>0</v>
      </c>
      <c r="L33" s="267">
        <f t="shared" si="0"/>
        <v>0</v>
      </c>
      <c r="M33" s="268">
        <f t="shared" si="1"/>
        <v>0</v>
      </c>
      <c r="N33" s="122">
        <f t="shared" si="2"/>
        <v>0</v>
      </c>
      <c r="O33" s="122">
        <f t="shared" si="3"/>
        <v>0</v>
      </c>
      <c r="P33" s="122">
        <f t="shared" si="9"/>
        <v>0</v>
      </c>
      <c r="Q33" s="122">
        <f t="shared" si="4"/>
        <v>0</v>
      </c>
      <c r="R33" s="122">
        <f t="shared" si="5"/>
        <v>0</v>
      </c>
      <c r="S33" s="122">
        <f t="shared" si="6"/>
        <v>0</v>
      </c>
      <c r="T33" s="122">
        <f t="shared" si="7"/>
        <v>0</v>
      </c>
      <c r="U33" s="122">
        <f t="shared" si="8"/>
        <v>0</v>
      </c>
      <c r="V33" s="30">
        <f t="shared" si="10"/>
        <v>0</v>
      </c>
      <c r="W33" s="30">
        <f t="shared" si="11"/>
        <v>0</v>
      </c>
      <c r="X33" s="30">
        <f t="shared" si="12"/>
        <v>0</v>
      </c>
      <c r="Y33" s="30">
        <f t="shared" si="12"/>
        <v>0</v>
      </c>
    </row>
    <row r="34" spans="1:25" ht="54.95" customHeight="1">
      <c r="A34" s="209">
        <v>31</v>
      </c>
      <c r="B34" s="250" t="s">
        <v>322</v>
      </c>
      <c r="C34" s="265">
        <v>6</v>
      </c>
      <c r="D34" s="266">
        <v>0</v>
      </c>
      <c r="E34" s="266">
        <v>1</v>
      </c>
      <c r="F34" s="266">
        <v>0</v>
      </c>
      <c r="G34" s="266">
        <v>1</v>
      </c>
      <c r="H34" s="266">
        <v>4</v>
      </c>
      <c r="I34" s="266">
        <v>4</v>
      </c>
      <c r="J34" s="267">
        <v>0</v>
      </c>
      <c r="K34" s="267">
        <v>0</v>
      </c>
      <c r="L34" s="267">
        <f t="shared" si="0"/>
        <v>0</v>
      </c>
      <c r="M34" s="268">
        <f t="shared" si="1"/>
        <v>0</v>
      </c>
      <c r="N34" s="122">
        <f t="shared" si="2"/>
        <v>0</v>
      </c>
      <c r="O34" s="122">
        <f t="shared" si="3"/>
        <v>0</v>
      </c>
      <c r="P34" s="122">
        <f t="shared" si="9"/>
        <v>0</v>
      </c>
      <c r="Q34" s="122">
        <f t="shared" si="4"/>
        <v>0</v>
      </c>
      <c r="R34" s="122">
        <f t="shared" si="5"/>
        <v>0</v>
      </c>
      <c r="S34" s="122">
        <f t="shared" si="6"/>
        <v>0</v>
      </c>
      <c r="T34" s="122">
        <f t="shared" si="7"/>
        <v>0</v>
      </c>
      <c r="U34" s="122">
        <f t="shared" si="8"/>
        <v>0</v>
      </c>
      <c r="V34" s="30">
        <f t="shared" si="10"/>
        <v>0</v>
      </c>
      <c r="W34" s="30">
        <f t="shared" si="11"/>
        <v>0</v>
      </c>
      <c r="X34" s="30">
        <f t="shared" si="12"/>
        <v>0</v>
      </c>
      <c r="Y34" s="30">
        <f t="shared" si="12"/>
        <v>0</v>
      </c>
    </row>
    <row r="35" spans="1:25" ht="54.95" customHeight="1">
      <c r="A35" s="209">
        <v>32</v>
      </c>
      <c r="B35" s="250" t="s">
        <v>323</v>
      </c>
      <c r="C35" s="265">
        <v>0.15</v>
      </c>
      <c r="D35" s="266">
        <v>0</v>
      </c>
      <c r="E35" s="266">
        <v>0</v>
      </c>
      <c r="F35" s="266">
        <v>0</v>
      </c>
      <c r="G35" s="266">
        <v>1</v>
      </c>
      <c r="H35" s="266">
        <v>4</v>
      </c>
      <c r="I35" s="266">
        <v>4</v>
      </c>
      <c r="J35" s="267">
        <v>0</v>
      </c>
      <c r="K35" s="267">
        <v>0</v>
      </c>
      <c r="L35" s="267">
        <f t="shared" si="0"/>
        <v>0</v>
      </c>
      <c r="M35" s="268">
        <f t="shared" si="1"/>
        <v>0</v>
      </c>
      <c r="N35" s="122">
        <f t="shared" si="2"/>
        <v>0</v>
      </c>
      <c r="O35" s="122">
        <f t="shared" si="3"/>
        <v>0</v>
      </c>
      <c r="P35" s="122">
        <f t="shared" si="9"/>
        <v>0</v>
      </c>
      <c r="Q35" s="122">
        <f t="shared" si="4"/>
        <v>0</v>
      </c>
      <c r="R35" s="122">
        <f t="shared" si="5"/>
        <v>0</v>
      </c>
      <c r="S35" s="122">
        <f t="shared" si="6"/>
        <v>0</v>
      </c>
      <c r="T35" s="122">
        <f t="shared" si="7"/>
        <v>0</v>
      </c>
      <c r="U35" s="122">
        <f t="shared" si="8"/>
        <v>0</v>
      </c>
      <c r="V35" s="30">
        <f t="shared" si="10"/>
        <v>0</v>
      </c>
      <c r="W35" s="30">
        <f t="shared" si="11"/>
        <v>0</v>
      </c>
      <c r="X35" s="30">
        <f t="shared" si="12"/>
        <v>0</v>
      </c>
      <c r="Y35" s="30">
        <f t="shared" si="12"/>
        <v>0</v>
      </c>
    </row>
    <row r="36" spans="1:25" ht="54.95" customHeight="1">
      <c r="A36" s="209">
        <v>33</v>
      </c>
      <c r="B36" s="250" t="s">
        <v>324</v>
      </c>
      <c r="C36" s="265">
        <v>1.7000000000000001E-2</v>
      </c>
      <c r="D36" s="266">
        <v>0</v>
      </c>
      <c r="E36" s="266">
        <v>0</v>
      </c>
      <c r="F36" s="266">
        <v>0</v>
      </c>
      <c r="G36" s="266">
        <v>1</v>
      </c>
      <c r="H36" s="266">
        <v>1</v>
      </c>
      <c r="I36" s="266">
        <v>4</v>
      </c>
      <c r="J36" s="267">
        <v>0</v>
      </c>
      <c r="K36" s="267">
        <v>0</v>
      </c>
      <c r="L36" s="267">
        <f t="shared" si="0"/>
        <v>0</v>
      </c>
      <c r="M36" s="268">
        <f t="shared" si="1"/>
        <v>0</v>
      </c>
      <c r="N36" s="122">
        <f t="shared" si="2"/>
        <v>0</v>
      </c>
      <c r="O36" s="122">
        <f t="shared" si="3"/>
        <v>0</v>
      </c>
      <c r="P36" s="122">
        <f t="shared" si="9"/>
        <v>0</v>
      </c>
      <c r="Q36" s="122">
        <f t="shared" si="4"/>
        <v>0</v>
      </c>
      <c r="R36" s="122">
        <f t="shared" si="5"/>
        <v>0</v>
      </c>
      <c r="S36" s="122">
        <f t="shared" si="6"/>
        <v>0</v>
      </c>
      <c r="T36" s="122">
        <f t="shared" si="7"/>
        <v>0</v>
      </c>
      <c r="U36" s="122">
        <f t="shared" si="8"/>
        <v>0</v>
      </c>
      <c r="V36" s="30">
        <f t="shared" si="10"/>
        <v>0</v>
      </c>
      <c r="W36" s="30">
        <f t="shared" si="11"/>
        <v>0</v>
      </c>
      <c r="X36" s="30">
        <f t="shared" si="12"/>
        <v>0</v>
      </c>
      <c r="Y36" s="30">
        <f t="shared" si="12"/>
        <v>0</v>
      </c>
    </row>
    <row r="37" spans="1:25" ht="54.95" customHeight="1">
      <c r="A37" s="209">
        <v>34</v>
      </c>
      <c r="B37" s="250" t="s">
        <v>285</v>
      </c>
      <c r="C37" s="265">
        <v>6.0000000000000001E-3</v>
      </c>
      <c r="D37" s="266">
        <v>0</v>
      </c>
      <c r="E37" s="266">
        <v>0</v>
      </c>
      <c r="F37" s="266">
        <v>0</v>
      </c>
      <c r="G37" s="266">
        <v>1</v>
      </c>
      <c r="H37" s="266">
        <v>1</v>
      </c>
      <c r="I37" s="266">
        <v>4</v>
      </c>
      <c r="J37" s="267">
        <v>0</v>
      </c>
      <c r="K37" s="267">
        <v>0</v>
      </c>
      <c r="L37" s="267">
        <f t="shared" si="0"/>
        <v>0</v>
      </c>
      <c r="M37" s="268">
        <f t="shared" si="1"/>
        <v>0</v>
      </c>
      <c r="N37" s="122">
        <f t="shared" si="2"/>
        <v>0</v>
      </c>
      <c r="O37" s="122">
        <f t="shared" si="3"/>
        <v>0</v>
      </c>
      <c r="P37" s="122">
        <f t="shared" si="9"/>
        <v>0</v>
      </c>
      <c r="Q37" s="122">
        <f t="shared" si="4"/>
        <v>0</v>
      </c>
      <c r="R37" s="122">
        <f t="shared" si="5"/>
        <v>0</v>
      </c>
      <c r="S37" s="122">
        <f t="shared" si="6"/>
        <v>0</v>
      </c>
      <c r="T37" s="122">
        <f t="shared" si="7"/>
        <v>0</v>
      </c>
      <c r="U37" s="122">
        <f t="shared" si="8"/>
        <v>0</v>
      </c>
      <c r="V37" s="30">
        <f t="shared" si="10"/>
        <v>0</v>
      </c>
      <c r="W37" s="30">
        <f t="shared" si="11"/>
        <v>0</v>
      </c>
      <c r="X37" s="30">
        <f t="shared" si="12"/>
        <v>0</v>
      </c>
      <c r="Y37" s="30">
        <f t="shared" si="12"/>
        <v>0</v>
      </c>
    </row>
    <row r="38" spans="1:25" ht="54.95" customHeight="1">
      <c r="A38" s="209">
        <v>35</v>
      </c>
      <c r="B38" s="250" t="s">
        <v>286</v>
      </c>
      <c r="C38" s="265">
        <v>5.0000000000000001E-3</v>
      </c>
      <c r="D38" s="266">
        <v>0</v>
      </c>
      <c r="E38" s="266">
        <v>0</v>
      </c>
      <c r="F38" s="266">
        <v>0</v>
      </c>
      <c r="G38" s="266">
        <v>1</v>
      </c>
      <c r="H38" s="266">
        <v>1</v>
      </c>
      <c r="I38" s="266">
        <v>4</v>
      </c>
      <c r="J38" s="267">
        <v>0</v>
      </c>
      <c r="K38" s="267">
        <v>0</v>
      </c>
      <c r="L38" s="267">
        <f t="shared" si="0"/>
        <v>0</v>
      </c>
      <c r="M38" s="268">
        <f t="shared" si="1"/>
        <v>0</v>
      </c>
      <c r="N38" s="122">
        <f t="shared" si="2"/>
        <v>0</v>
      </c>
      <c r="O38" s="122">
        <f t="shared" si="3"/>
        <v>0</v>
      </c>
      <c r="P38" s="122">
        <f t="shared" si="9"/>
        <v>0</v>
      </c>
      <c r="Q38" s="122">
        <f t="shared" si="4"/>
        <v>0</v>
      </c>
      <c r="R38" s="122">
        <f t="shared" si="5"/>
        <v>0</v>
      </c>
      <c r="S38" s="122">
        <f t="shared" si="6"/>
        <v>0</v>
      </c>
      <c r="T38" s="122">
        <f t="shared" si="7"/>
        <v>0</v>
      </c>
      <c r="U38" s="122">
        <f t="shared" si="8"/>
        <v>0</v>
      </c>
      <c r="V38" s="30">
        <f t="shared" si="10"/>
        <v>0</v>
      </c>
      <c r="W38" s="30">
        <f t="shared" si="11"/>
        <v>0</v>
      </c>
      <c r="X38" s="30">
        <f t="shared" si="12"/>
        <v>0</v>
      </c>
      <c r="Y38" s="30">
        <f t="shared" si="12"/>
        <v>0</v>
      </c>
    </row>
    <row r="39" spans="1:25" ht="54.95" customHeight="1">
      <c r="A39" s="209">
        <v>36</v>
      </c>
      <c r="B39" s="250" t="s">
        <v>287</v>
      </c>
      <c r="C39" s="265">
        <v>0.03</v>
      </c>
      <c r="D39" s="266">
        <v>0</v>
      </c>
      <c r="E39" s="266">
        <v>0</v>
      </c>
      <c r="F39" s="266">
        <v>0</v>
      </c>
      <c r="G39" s="266">
        <v>1</v>
      </c>
      <c r="H39" s="266">
        <v>1</v>
      </c>
      <c r="I39" s="266">
        <v>4</v>
      </c>
      <c r="J39" s="267">
        <v>0</v>
      </c>
      <c r="K39" s="267">
        <v>0</v>
      </c>
      <c r="L39" s="267">
        <f t="shared" si="0"/>
        <v>0</v>
      </c>
      <c r="M39" s="268">
        <f t="shared" si="1"/>
        <v>0</v>
      </c>
      <c r="N39" s="122">
        <f t="shared" si="2"/>
        <v>0</v>
      </c>
      <c r="O39" s="122">
        <f t="shared" si="3"/>
        <v>0</v>
      </c>
      <c r="P39" s="122">
        <f t="shared" si="9"/>
        <v>0</v>
      </c>
      <c r="Q39" s="122">
        <f t="shared" si="4"/>
        <v>0</v>
      </c>
      <c r="R39" s="122">
        <f t="shared" si="5"/>
        <v>0</v>
      </c>
      <c r="S39" s="122">
        <f t="shared" si="6"/>
        <v>0</v>
      </c>
      <c r="T39" s="122">
        <f t="shared" si="7"/>
        <v>0</v>
      </c>
      <c r="U39" s="122">
        <f t="shared" si="8"/>
        <v>0</v>
      </c>
      <c r="V39" s="30">
        <f t="shared" si="10"/>
        <v>0</v>
      </c>
      <c r="W39" s="30">
        <f t="shared" si="11"/>
        <v>0</v>
      </c>
      <c r="X39" s="30">
        <f t="shared" si="12"/>
        <v>0</v>
      </c>
      <c r="Y39" s="30">
        <f t="shared" si="12"/>
        <v>0</v>
      </c>
    </row>
    <row r="40" spans="1:25" ht="54.95" customHeight="1">
      <c r="A40" s="209">
        <v>37</v>
      </c>
      <c r="B40" s="250" t="s">
        <v>1354</v>
      </c>
      <c r="C40" s="265">
        <v>6</v>
      </c>
      <c r="D40" s="266">
        <v>0</v>
      </c>
      <c r="E40" s="266">
        <v>1</v>
      </c>
      <c r="F40" s="266">
        <v>0</v>
      </c>
      <c r="G40" s="266">
        <v>1</v>
      </c>
      <c r="H40" s="266">
        <v>4</v>
      </c>
      <c r="I40" s="266">
        <v>4</v>
      </c>
      <c r="J40" s="267">
        <v>0</v>
      </c>
      <c r="K40" s="267">
        <v>0</v>
      </c>
      <c r="L40" s="267">
        <f t="shared" si="0"/>
        <v>0</v>
      </c>
      <c r="M40" s="268">
        <f t="shared" si="1"/>
        <v>0</v>
      </c>
      <c r="N40" s="122">
        <f t="shared" si="2"/>
        <v>0</v>
      </c>
      <c r="O40" s="122">
        <f t="shared" si="3"/>
        <v>0</v>
      </c>
      <c r="P40" s="122">
        <f t="shared" si="9"/>
        <v>0</v>
      </c>
      <c r="Q40" s="122">
        <f t="shared" si="4"/>
        <v>0</v>
      </c>
      <c r="R40" s="122">
        <f t="shared" si="5"/>
        <v>0</v>
      </c>
      <c r="S40" s="122">
        <f t="shared" si="6"/>
        <v>0</v>
      </c>
      <c r="T40" s="122">
        <f t="shared" si="7"/>
        <v>0</v>
      </c>
      <c r="U40" s="122">
        <f t="shared" si="8"/>
        <v>0</v>
      </c>
      <c r="V40" s="30">
        <f t="shared" si="10"/>
        <v>0</v>
      </c>
      <c r="W40" s="30">
        <f t="shared" si="11"/>
        <v>0</v>
      </c>
      <c r="X40" s="30">
        <f t="shared" si="12"/>
        <v>0</v>
      </c>
      <c r="Y40" s="30">
        <f t="shared" si="12"/>
        <v>0</v>
      </c>
    </row>
    <row r="41" spans="1:25" ht="54.95" customHeight="1">
      <c r="A41" s="209">
        <v>38</v>
      </c>
      <c r="B41" s="250" t="s">
        <v>283</v>
      </c>
      <c r="C41" s="265">
        <v>1.7000000000000001E-2</v>
      </c>
      <c r="D41" s="266">
        <v>0</v>
      </c>
      <c r="E41" s="266">
        <v>0</v>
      </c>
      <c r="F41" s="266">
        <v>0</v>
      </c>
      <c r="G41" s="266">
        <v>1</v>
      </c>
      <c r="H41" s="266">
        <v>1</v>
      </c>
      <c r="I41" s="266">
        <v>4</v>
      </c>
      <c r="J41" s="267">
        <v>0</v>
      </c>
      <c r="K41" s="267">
        <v>0</v>
      </c>
      <c r="L41" s="267">
        <f t="shared" si="0"/>
        <v>0</v>
      </c>
      <c r="M41" s="268">
        <f t="shared" si="1"/>
        <v>0</v>
      </c>
      <c r="N41" s="122">
        <f t="shared" si="2"/>
        <v>0</v>
      </c>
      <c r="O41" s="122">
        <f t="shared" si="3"/>
        <v>0</v>
      </c>
      <c r="P41" s="122">
        <f t="shared" si="9"/>
        <v>0</v>
      </c>
      <c r="Q41" s="122">
        <f t="shared" si="4"/>
        <v>0</v>
      </c>
      <c r="R41" s="122">
        <f t="shared" si="5"/>
        <v>0</v>
      </c>
      <c r="S41" s="122">
        <f t="shared" si="6"/>
        <v>0</v>
      </c>
      <c r="T41" s="122">
        <f t="shared" si="7"/>
        <v>0</v>
      </c>
      <c r="U41" s="122">
        <f t="shared" si="8"/>
        <v>0</v>
      </c>
      <c r="V41" s="30">
        <f t="shared" si="10"/>
        <v>0</v>
      </c>
      <c r="W41" s="30">
        <f t="shared" si="11"/>
        <v>0</v>
      </c>
      <c r="X41" s="30">
        <f t="shared" si="12"/>
        <v>0</v>
      </c>
      <c r="Y41" s="30">
        <f t="shared" si="12"/>
        <v>0</v>
      </c>
    </row>
    <row r="42" spans="1:25" ht="54.95" customHeight="1">
      <c r="A42" s="209">
        <v>39</v>
      </c>
      <c r="B42" s="250" t="s">
        <v>325</v>
      </c>
      <c r="C42" s="265">
        <v>1.1999999999999999E-3</v>
      </c>
      <c r="D42" s="266">
        <v>0</v>
      </c>
      <c r="E42" s="266">
        <v>0</v>
      </c>
      <c r="F42" s="266">
        <v>0</v>
      </c>
      <c r="G42" s="266">
        <v>1</v>
      </c>
      <c r="H42" s="266">
        <v>1</v>
      </c>
      <c r="I42" s="266">
        <v>4</v>
      </c>
      <c r="J42" s="267">
        <v>0</v>
      </c>
      <c r="K42" s="267">
        <v>0</v>
      </c>
      <c r="L42" s="267">
        <f t="shared" si="0"/>
        <v>0</v>
      </c>
      <c r="M42" s="268">
        <f t="shared" si="1"/>
        <v>0</v>
      </c>
      <c r="N42" s="122">
        <f t="shared" si="2"/>
        <v>0</v>
      </c>
      <c r="O42" s="122">
        <f t="shared" si="3"/>
        <v>0</v>
      </c>
      <c r="P42" s="122">
        <f t="shared" si="9"/>
        <v>0</v>
      </c>
      <c r="Q42" s="122">
        <f t="shared" si="4"/>
        <v>0</v>
      </c>
      <c r="R42" s="122">
        <f t="shared" si="5"/>
        <v>0</v>
      </c>
      <c r="S42" s="122">
        <f t="shared" si="6"/>
        <v>0</v>
      </c>
      <c r="T42" s="122">
        <f t="shared" si="7"/>
        <v>0</v>
      </c>
      <c r="U42" s="122">
        <f t="shared" si="8"/>
        <v>0</v>
      </c>
      <c r="V42" s="30">
        <f t="shared" si="10"/>
        <v>0</v>
      </c>
      <c r="W42" s="30">
        <f t="shared" si="11"/>
        <v>0</v>
      </c>
      <c r="X42" s="30">
        <f t="shared" si="12"/>
        <v>0</v>
      </c>
      <c r="Y42" s="30">
        <f t="shared" si="12"/>
        <v>0</v>
      </c>
    </row>
    <row r="43" spans="1:25" ht="54.95" customHeight="1">
      <c r="A43" s="209">
        <v>40</v>
      </c>
      <c r="B43" s="250" t="s">
        <v>326</v>
      </c>
      <c r="C43" s="265">
        <v>6</v>
      </c>
      <c r="D43" s="266">
        <v>0</v>
      </c>
      <c r="E43" s="266">
        <v>1</v>
      </c>
      <c r="F43" s="266">
        <v>0</v>
      </c>
      <c r="G43" s="266">
        <v>1</v>
      </c>
      <c r="H43" s="266">
        <v>5</v>
      </c>
      <c r="I43" s="266">
        <v>4</v>
      </c>
      <c r="J43" s="267">
        <v>0</v>
      </c>
      <c r="K43" s="267">
        <v>0</v>
      </c>
      <c r="L43" s="267">
        <f t="shared" si="0"/>
        <v>0</v>
      </c>
      <c r="M43" s="268">
        <f t="shared" si="1"/>
        <v>0</v>
      </c>
      <c r="N43" s="122">
        <f t="shared" si="2"/>
        <v>0</v>
      </c>
      <c r="O43" s="122">
        <f t="shared" si="3"/>
        <v>0</v>
      </c>
      <c r="P43" s="122">
        <f t="shared" si="9"/>
        <v>0</v>
      </c>
      <c r="Q43" s="122">
        <f t="shared" si="4"/>
        <v>0</v>
      </c>
      <c r="R43" s="122">
        <f t="shared" si="5"/>
        <v>0</v>
      </c>
      <c r="S43" s="122">
        <f t="shared" si="6"/>
        <v>0</v>
      </c>
      <c r="T43" s="122">
        <f t="shared" si="7"/>
        <v>0</v>
      </c>
      <c r="U43" s="122">
        <f t="shared" si="8"/>
        <v>0</v>
      </c>
      <c r="V43" s="30">
        <f t="shared" si="10"/>
        <v>0</v>
      </c>
      <c r="W43" s="30">
        <f t="shared" si="11"/>
        <v>0</v>
      </c>
      <c r="X43" s="30">
        <f t="shared" si="12"/>
        <v>0</v>
      </c>
      <c r="Y43" s="30">
        <f t="shared" si="12"/>
        <v>0</v>
      </c>
    </row>
    <row r="44" spans="1:25" ht="54.95" customHeight="1">
      <c r="A44" s="209">
        <v>41</v>
      </c>
      <c r="B44" s="250" t="s">
        <v>327</v>
      </c>
      <c r="C44" s="265">
        <v>0.3</v>
      </c>
      <c r="D44" s="266">
        <v>0</v>
      </c>
      <c r="E44" s="266">
        <v>1</v>
      </c>
      <c r="F44" s="266">
        <v>0</v>
      </c>
      <c r="G44" s="266">
        <v>1</v>
      </c>
      <c r="H44" s="266">
        <v>4</v>
      </c>
      <c r="I44" s="266">
        <v>4</v>
      </c>
      <c r="J44" s="267">
        <v>0</v>
      </c>
      <c r="K44" s="267">
        <v>0</v>
      </c>
      <c r="L44" s="267">
        <f t="shared" si="0"/>
        <v>0</v>
      </c>
      <c r="M44" s="268">
        <f t="shared" si="1"/>
        <v>0</v>
      </c>
      <c r="N44" s="122">
        <f t="shared" si="2"/>
        <v>0</v>
      </c>
      <c r="O44" s="122">
        <f t="shared" si="3"/>
        <v>0</v>
      </c>
      <c r="P44" s="122">
        <f t="shared" si="9"/>
        <v>0</v>
      </c>
      <c r="Q44" s="122">
        <f t="shared" si="4"/>
        <v>0</v>
      </c>
      <c r="R44" s="122">
        <f t="shared" si="5"/>
        <v>0</v>
      </c>
      <c r="S44" s="122">
        <f t="shared" si="6"/>
        <v>0</v>
      </c>
      <c r="T44" s="122">
        <f t="shared" si="7"/>
        <v>0</v>
      </c>
      <c r="U44" s="122">
        <f t="shared" si="8"/>
        <v>0</v>
      </c>
      <c r="V44" s="30">
        <f t="shared" si="10"/>
        <v>0</v>
      </c>
      <c r="W44" s="30">
        <f t="shared" si="11"/>
        <v>0</v>
      </c>
      <c r="X44" s="30">
        <f t="shared" si="12"/>
        <v>0</v>
      </c>
      <c r="Y44" s="30">
        <f t="shared" si="12"/>
        <v>0</v>
      </c>
    </row>
    <row r="45" spans="1:25" ht="54.95" customHeight="1">
      <c r="A45" s="209">
        <v>42</v>
      </c>
      <c r="B45" s="250" t="s">
        <v>328</v>
      </c>
      <c r="C45" s="265">
        <v>4</v>
      </c>
      <c r="D45" s="266">
        <v>0</v>
      </c>
      <c r="E45" s="266">
        <v>1</v>
      </c>
      <c r="F45" s="266">
        <v>0</v>
      </c>
      <c r="G45" s="266">
        <v>1</v>
      </c>
      <c r="H45" s="266">
        <v>4</v>
      </c>
      <c r="I45" s="266">
        <v>4</v>
      </c>
      <c r="J45" s="267">
        <v>0</v>
      </c>
      <c r="K45" s="267">
        <v>0</v>
      </c>
      <c r="L45" s="267">
        <f t="shared" si="0"/>
        <v>0</v>
      </c>
      <c r="M45" s="268">
        <f t="shared" si="1"/>
        <v>0</v>
      </c>
      <c r="N45" s="122">
        <f t="shared" si="2"/>
        <v>0</v>
      </c>
      <c r="O45" s="122">
        <f t="shared" si="3"/>
        <v>0</v>
      </c>
      <c r="P45" s="122">
        <f t="shared" si="9"/>
        <v>0</v>
      </c>
      <c r="Q45" s="122">
        <f t="shared" si="4"/>
        <v>0</v>
      </c>
      <c r="R45" s="122">
        <f t="shared" si="5"/>
        <v>0</v>
      </c>
      <c r="S45" s="122">
        <f t="shared" si="6"/>
        <v>0</v>
      </c>
      <c r="T45" s="122">
        <f t="shared" si="7"/>
        <v>0</v>
      </c>
      <c r="U45" s="122">
        <f t="shared" si="8"/>
        <v>0</v>
      </c>
      <c r="V45" s="30">
        <f t="shared" si="10"/>
        <v>0</v>
      </c>
      <c r="W45" s="30">
        <f t="shared" si="11"/>
        <v>0</v>
      </c>
      <c r="X45" s="30">
        <f t="shared" si="12"/>
        <v>0</v>
      </c>
      <c r="Y45" s="30">
        <f t="shared" si="12"/>
        <v>0</v>
      </c>
    </row>
    <row r="46" spans="1:25" ht="54.95" customHeight="1">
      <c r="A46" s="209">
        <v>43</v>
      </c>
      <c r="B46" s="250" t="s">
        <v>233</v>
      </c>
      <c r="C46" s="265">
        <v>6</v>
      </c>
      <c r="D46" s="266">
        <v>0</v>
      </c>
      <c r="E46" s="266">
        <v>0</v>
      </c>
      <c r="F46" s="266">
        <v>0</v>
      </c>
      <c r="G46" s="266">
        <v>1</v>
      </c>
      <c r="H46" s="266">
        <v>1</v>
      </c>
      <c r="I46" s="266">
        <v>4</v>
      </c>
      <c r="J46" s="267">
        <v>0</v>
      </c>
      <c r="K46" s="267">
        <v>0</v>
      </c>
      <c r="L46" s="267">
        <f t="shared" si="0"/>
        <v>0</v>
      </c>
      <c r="M46" s="268">
        <f t="shared" si="1"/>
        <v>0</v>
      </c>
      <c r="N46" s="122">
        <f t="shared" si="2"/>
        <v>0</v>
      </c>
      <c r="O46" s="122">
        <f t="shared" si="3"/>
        <v>0</v>
      </c>
      <c r="P46" s="122">
        <f t="shared" si="9"/>
        <v>0</v>
      </c>
      <c r="Q46" s="122">
        <f t="shared" si="4"/>
        <v>0</v>
      </c>
      <c r="R46" s="122">
        <f t="shared" si="5"/>
        <v>0</v>
      </c>
      <c r="S46" s="122">
        <f t="shared" si="6"/>
        <v>0</v>
      </c>
      <c r="T46" s="122">
        <f t="shared" si="7"/>
        <v>0</v>
      </c>
      <c r="U46" s="122">
        <f t="shared" si="8"/>
        <v>0</v>
      </c>
      <c r="V46" s="30">
        <f t="shared" si="10"/>
        <v>0</v>
      </c>
      <c r="W46" s="30">
        <f t="shared" si="11"/>
        <v>0</v>
      </c>
      <c r="X46" s="30">
        <f t="shared" si="12"/>
        <v>0</v>
      </c>
      <c r="Y46" s="30">
        <f t="shared" si="12"/>
        <v>0</v>
      </c>
    </row>
    <row r="47" spans="1:25" ht="54.95" customHeight="1">
      <c r="A47" s="209">
        <v>44</v>
      </c>
      <c r="B47" s="250" t="s">
        <v>234</v>
      </c>
      <c r="C47" s="265">
        <v>24</v>
      </c>
      <c r="D47" s="266">
        <v>0</v>
      </c>
      <c r="E47" s="266">
        <v>0</v>
      </c>
      <c r="F47" s="266">
        <v>1</v>
      </c>
      <c r="G47" s="266">
        <v>2</v>
      </c>
      <c r="H47" s="266">
        <v>1</v>
      </c>
      <c r="I47" s="266">
        <v>4</v>
      </c>
      <c r="J47" s="267">
        <v>0</v>
      </c>
      <c r="K47" s="267">
        <v>0</v>
      </c>
      <c r="L47" s="267">
        <f t="shared" si="0"/>
        <v>0</v>
      </c>
      <c r="M47" s="268">
        <f t="shared" si="1"/>
        <v>0</v>
      </c>
      <c r="N47" s="122">
        <f t="shared" si="2"/>
        <v>0</v>
      </c>
      <c r="O47" s="122">
        <f t="shared" si="3"/>
        <v>0</v>
      </c>
      <c r="P47" s="122">
        <f t="shared" si="9"/>
        <v>0</v>
      </c>
      <c r="Q47" s="122">
        <f t="shared" si="4"/>
        <v>0</v>
      </c>
      <c r="R47" s="122">
        <f t="shared" si="5"/>
        <v>0</v>
      </c>
      <c r="S47" s="122">
        <f t="shared" si="6"/>
        <v>0</v>
      </c>
      <c r="T47" s="122">
        <f t="shared" si="7"/>
        <v>0</v>
      </c>
      <c r="U47" s="122">
        <f t="shared" si="8"/>
        <v>0</v>
      </c>
      <c r="V47" s="30">
        <f t="shared" si="10"/>
        <v>0</v>
      </c>
      <c r="W47" s="30">
        <f t="shared" si="11"/>
        <v>0</v>
      </c>
      <c r="X47" s="30">
        <f t="shared" si="12"/>
        <v>0</v>
      </c>
      <c r="Y47" s="30">
        <f t="shared" si="12"/>
        <v>0</v>
      </c>
    </row>
    <row r="48" spans="1:25" ht="54.95" customHeight="1">
      <c r="A48" s="209">
        <v>45</v>
      </c>
      <c r="B48" s="250" t="s">
        <v>235</v>
      </c>
      <c r="C48" s="265">
        <v>2.5</v>
      </c>
      <c r="D48" s="266">
        <v>0</v>
      </c>
      <c r="E48" s="266">
        <v>0</v>
      </c>
      <c r="F48" s="266">
        <v>0</v>
      </c>
      <c r="G48" s="266">
        <v>1</v>
      </c>
      <c r="H48" s="266">
        <v>1</v>
      </c>
      <c r="I48" s="266">
        <v>4</v>
      </c>
      <c r="J48" s="267">
        <v>0</v>
      </c>
      <c r="K48" s="267">
        <v>0</v>
      </c>
      <c r="L48" s="267">
        <f t="shared" si="0"/>
        <v>0</v>
      </c>
      <c r="M48" s="268">
        <f t="shared" si="1"/>
        <v>0</v>
      </c>
      <c r="N48" s="122">
        <f t="shared" si="2"/>
        <v>0</v>
      </c>
      <c r="O48" s="122">
        <f t="shared" si="3"/>
        <v>0</v>
      </c>
      <c r="P48" s="122">
        <f t="shared" si="9"/>
        <v>0</v>
      </c>
      <c r="Q48" s="122">
        <f t="shared" si="4"/>
        <v>0</v>
      </c>
      <c r="R48" s="122">
        <f t="shared" si="5"/>
        <v>0</v>
      </c>
      <c r="S48" s="122">
        <f t="shared" si="6"/>
        <v>0</v>
      </c>
      <c r="T48" s="122">
        <f t="shared" si="7"/>
        <v>0</v>
      </c>
      <c r="U48" s="122">
        <f t="shared" si="8"/>
        <v>0</v>
      </c>
      <c r="V48" s="30">
        <f t="shared" si="10"/>
        <v>0</v>
      </c>
      <c r="W48" s="30">
        <f t="shared" si="11"/>
        <v>0</v>
      </c>
      <c r="X48" s="30">
        <f t="shared" si="12"/>
        <v>0</v>
      </c>
      <c r="Y48" s="30">
        <f t="shared" si="12"/>
        <v>0</v>
      </c>
    </row>
    <row r="49" spans="1:26" s="130" customFormat="1" ht="54.95" customHeight="1">
      <c r="A49" s="209">
        <v>46</v>
      </c>
      <c r="B49" s="250" t="s">
        <v>236</v>
      </c>
      <c r="C49" s="265">
        <v>3</v>
      </c>
      <c r="D49" s="266">
        <v>0</v>
      </c>
      <c r="E49" s="266">
        <v>0</v>
      </c>
      <c r="F49" s="266">
        <v>0</v>
      </c>
      <c r="G49" s="266">
        <v>1</v>
      </c>
      <c r="H49" s="266">
        <v>1</v>
      </c>
      <c r="I49" s="266">
        <v>4</v>
      </c>
      <c r="J49" s="267">
        <v>0</v>
      </c>
      <c r="K49" s="267">
        <v>0</v>
      </c>
      <c r="L49" s="267">
        <f t="shared" si="0"/>
        <v>0</v>
      </c>
      <c r="M49" s="268">
        <f t="shared" si="1"/>
        <v>0</v>
      </c>
      <c r="N49" s="122">
        <f t="shared" si="2"/>
        <v>0</v>
      </c>
      <c r="O49" s="122">
        <f t="shared" si="3"/>
        <v>0</v>
      </c>
      <c r="P49" s="122">
        <f t="shared" si="9"/>
        <v>0</v>
      </c>
      <c r="Q49" s="122">
        <f t="shared" si="4"/>
        <v>0</v>
      </c>
      <c r="R49" s="122">
        <f t="shared" si="5"/>
        <v>0</v>
      </c>
      <c r="S49" s="122">
        <f t="shared" si="6"/>
        <v>0</v>
      </c>
      <c r="T49" s="122">
        <f t="shared" si="7"/>
        <v>0</v>
      </c>
      <c r="U49" s="122">
        <f t="shared" si="8"/>
        <v>0</v>
      </c>
      <c r="V49" s="30">
        <f t="shared" si="10"/>
        <v>0</v>
      </c>
      <c r="W49" s="30">
        <f t="shared" si="11"/>
        <v>0</v>
      </c>
      <c r="X49" s="30">
        <f t="shared" si="12"/>
        <v>0</v>
      </c>
      <c r="Y49" s="30">
        <f t="shared" si="12"/>
        <v>0</v>
      </c>
      <c r="Z49" s="121"/>
    </row>
    <row r="50" spans="1:26" ht="54.95" customHeight="1">
      <c r="A50" s="209">
        <v>47</v>
      </c>
      <c r="B50" s="250" t="s">
        <v>237</v>
      </c>
      <c r="C50" s="265">
        <v>2</v>
      </c>
      <c r="D50" s="266">
        <v>0</v>
      </c>
      <c r="E50" s="266">
        <v>1</v>
      </c>
      <c r="F50" s="266">
        <v>0</v>
      </c>
      <c r="G50" s="266">
        <v>1</v>
      </c>
      <c r="H50" s="266">
        <v>1</v>
      </c>
      <c r="I50" s="266">
        <v>1</v>
      </c>
      <c r="J50" s="267">
        <v>0</v>
      </c>
      <c r="K50" s="267">
        <v>0</v>
      </c>
      <c r="L50" s="267">
        <f t="shared" si="0"/>
        <v>0</v>
      </c>
      <c r="M50" s="268">
        <f t="shared" si="1"/>
        <v>0</v>
      </c>
      <c r="N50" s="122">
        <f t="shared" si="2"/>
        <v>0</v>
      </c>
      <c r="O50" s="122">
        <f t="shared" si="3"/>
        <v>0</v>
      </c>
      <c r="P50" s="122">
        <f t="shared" si="9"/>
        <v>0</v>
      </c>
      <c r="Q50" s="122">
        <f t="shared" si="4"/>
        <v>0</v>
      </c>
      <c r="R50" s="122">
        <f t="shared" si="5"/>
        <v>0</v>
      </c>
      <c r="S50" s="122">
        <f t="shared" si="6"/>
        <v>0</v>
      </c>
      <c r="T50" s="122">
        <f t="shared" si="7"/>
        <v>0</v>
      </c>
      <c r="U50" s="122">
        <f t="shared" si="8"/>
        <v>0</v>
      </c>
      <c r="V50" s="30">
        <f t="shared" si="10"/>
        <v>0</v>
      </c>
      <c r="W50" s="30">
        <f t="shared" si="11"/>
        <v>0</v>
      </c>
      <c r="X50" s="30">
        <f t="shared" si="12"/>
        <v>0</v>
      </c>
      <c r="Y50" s="30">
        <f t="shared" si="12"/>
        <v>0</v>
      </c>
    </row>
    <row r="51" spans="1:26" s="130" customFormat="1" ht="54.95" customHeight="1">
      <c r="A51" s="209">
        <v>48</v>
      </c>
      <c r="B51" s="250" t="s">
        <v>238</v>
      </c>
      <c r="C51" s="265">
        <v>6</v>
      </c>
      <c r="D51" s="266">
        <v>0</v>
      </c>
      <c r="E51" s="266">
        <v>1</v>
      </c>
      <c r="F51" s="266">
        <v>0</v>
      </c>
      <c r="G51" s="266">
        <v>1</v>
      </c>
      <c r="H51" s="266">
        <v>1</v>
      </c>
      <c r="I51" s="266">
        <v>1</v>
      </c>
      <c r="J51" s="267">
        <v>0</v>
      </c>
      <c r="K51" s="267">
        <v>0</v>
      </c>
      <c r="L51" s="267">
        <f t="shared" si="0"/>
        <v>0</v>
      </c>
      <c r="M51" s="268">
        <f t="shared" si="1"/>
        <v>0</v>
      </c>
      <c r="N51" s="122">
        <f t="shared" si="2"/>
        <v>0</v>
      </c>
      <c r="O51" s="122">
        <f t="shared" si="3"/>
        <v>0</v>
      </c>
      <c r="P51" s="122">
        <f t="shared" si="9"/>
        <v>0</v>
      </c>
      <c r="Q51" s="122">
        <f t="shared" si="4"/>
        <v>0</v>
      </c>
      <c r="R51" s="122">
        <f t="shared" si="5"/>
        <v>0</v>
      </c>
      <c r="S51" s="122">
        <f t="shared" si="6"/>
        <v>0</v>
      </c>
      <c r="T51" s="122">
        <f t="shared" si="7"/>
        <v>0</v>
      </c>
      <c r="U51" s="122">
        <f t="shared" si="8"/>
        <v>0</v>
      </c>
      <c r="V51" s="30">
        <f t="shared" si="10"/>
        <v>0</v>
      </c>
      <c r="W51" s="30">
        <f t="shared" si="11"/>
        <v>0</v>
      </c>
      <c r="X51" s="30">
        <f t="shared" si="12"/>
        <v>0</v>
      </c>
      <c r="Y51" s="30">
        <f t="shared" si="12"/>
        <v>0</v>
      </c>
      <c r="Z51" s="121"/>
    </row>
    <row r="52" spans="1:26" ht="54.95" customHeight="1">
      <c r="A52" s="209">
        <v>49</v>
      </c>
      <c r="B52" s="250" t="s">
        <v>329</v>
      </c>
      <c r="C52" s="265">
        <v>1.7000000000000001E-2</v>
      </c>
      <c r="D52" s="266">
        <v>0</v>
      </c>
      <c r="E52" s="266">
        <v>0</v>
      </c>
      <c r="F52" s="266">
        <v>0</v>
      </c>
      <c r="G52" s="266">
        <v>1</v>
      </c>
      <c r="H52" s="266">
        <v>1</v>
      </c>
      <c r="I52" s="266">
        <v>4</v>
      </c>
      <c r="J52" s="267">
        <v>0</v>
      </c>
      <c r="K52" s="267">
        <v>0</v>
      </c>
      <c r="L52" s="267">
        <f t="shared" si="0"/>
        <v>0</v>
      </c>
      <c r="M52" s="268">
        <f t="shared" si="1"/>
        <v>0</v>
      </c>
      <c r="N52" s="122">
        <f t="shared" si="2"/>
        <v>0</v>
      </c>
      <c r="O52" s="122">
        <f t="shared" si="3"/>
        <v>0</v>
      </c>
      <c r="P52" s="122">
        <f t="shared" si="9"/>
        <v>0</v>
      </c>
      <c r="Q52" s="122">
        <f t="shared" si="4"/>
        <v>0</v>
      </c>
      <c r="R52" s="122">
        <f t="shared" si="5"/>
        <v>0</v>
      </c>
      <c r="S52" s="122">
        <f t="shared" si="6"/>
        <v>0</v>
      </c>
      <c r="T52" s="122">
        <f t="shared" si="7"/>
        <v>0</v>
      </c>
      <c r="U52" s="122">
        <f t="shared" si="8"/>
        <v>0</v>
      </c>
      <c r="V52" s="30">
        <f t="shared" si="10"/>
        <v>0</v>
      </c>
      <c r="W52" s="30">
        <f t="shared" si="11"/>
        <v>0</v>
      </c>
      <c r="X52" s="30">
        <f t="shared" si="12"/>
        <v>0</v>
      </c>
      <c r="Y52" s="30">
        <f t="shared" si="12"/>
        <v>0</v>
      </c>
    </row>
    <row r="53" spans="1:26" ht="54.95" customHeight="1">
      <c r="A53" s="209">
        <v>50</v>
      </c>
      <c r="B53" s="250" t="s">
        <v>281</v>
      </c>
      <c r="C53" s="265">
        <v>2E-3</v>
      </c>
      <c r="D53" s="266">
        <v>0</v>
      </c>
      <c r="E53" s="266">
        <v>0</v>
      </c>
      <c r="F53" s="266">
        <v>0</v>
      </c>
      <c r="G53" s="266">
        <v>1</v>
      </c>
      <c r="H53" s="266">
        <v>5</v>
      </c>
      <c r="I53" s="266">
        <v>4</v>
      </c>
      <c r="J53" s="267">
        <v>0</v>
      </c>
      <c r="K53" s="267">
        <v>0</v>
      </c>
      <c r="L53" s="267">
        <f t="shared" si="0"/>
        <v>0</v>
      </c>
      <c r="M53" s="268">
        <f t="shared" si="1"/>
        <v>0</v>
      </c>
      <c r="N53" s="122">
        <f t="shared" si="2"/>
        <v>0</v>
      </c>
      <c r="O53" s="122">
        <f t="shared" si="3"/>
        <v>0</v>
      </c>
      <c r="P53" s="122">
        <f t="shared" si="9"/>
        <v>0</v>
      </c>
      <c r="Q53" s="122">
        <f t="shared" si="4"/>
        <v>0</v>
      </c>
      <c r="R53" s="122">
        <f t="shared" si="5"/>
        <v>0</v>
      </c>
      <c r="S53" s="122">
        <f t="shared" si="6"/>
        <v>0</v>
      </c>
      <c r="T53" s="122">
        <f t="shared" si="7"/>
        <v>0</v>
      </c>
      <c r="U53" s="122">
        <f t="shared" si="8"/>
        <v>0</v>
      </c>
      <c r="V53" s="30">
        <f t="shared" si="10"/>
        <v>0</v>
      </c>
      <c r="W53" s="30">
        <f t="shared" si="11"/>
        <v>0</v>
      </c>
      <c r="X53" s="30">
        <f t="shared" si="12"/>
        <v>0</v>
      </c>
      <c r="Y53" s="30">
        <f t="shared" si="12"/>
        <v>0</v>
      </c>
    </row>
    <row r="54" spans="1:26" ht="54.95" customHeight="1">
      <c r="A54" s="209">
        <v>51</v>
      </c>
      <c r="B54" s="250" t="s">
        <v>330</v>
      </c>
      <c r="C54" s="265">
        <v>0.12</v>
      </c>
      <c r="D54" s="266">
        <v>0</v>
      </c>
      <c r="E54" s="266">
        <v>0</v>
      </c>
      <c r="F54" s="266">
        <v>0</v>
      </c>
      <c r="G54" s="266">
        <v>1</v>
      </c>
      <c r="H54" s="266">
        <v>5</v>
      </c>
      <c r="I54" s="266">
        <v>4</v>
      </c>
      <c r="J54" s="267">
        <v>0</v>
      </c>
      <c r="K54" s="267">
        <v>0</v>
      </c>
      <c r="L54" s="267">
        <f t="shared" si="0"/>
        <v>0</v>
      </c>
      <c r="M54" s="268">
        <f t="shared" si="1"/>
        <v>0</v>
      </c>
      <c r="N54" s="122">
        <f t="shared" si="2"/>
        <v>0</v>
      </c>
      <c r="O54" s="122">
        <f t="shared" si="3"/>
        <v>0</v>
      </c>
      <c r="P54" s="122">
        <f t="shared" si="9"/>
        <v>0</v>
      </c>
      <c r="Q54" s="122">
        <f t="shared" si="4"/>
        <v>0</v>
      </c>
      <c r="R54" s="122">
        <f t="shared" si="5"/>
        <v>0</v>
      </c>
      <c r="S54" s="122">
        <f t="shared" si="6"/>
        <v>0</v>
      </c>
      <c r="T54" s="122">
        <f t="shared" si="7"/>
        <v>0</v>
      </c>
      <c r="U54" s="122">
        <f t="shared" si="8"/>
        <v>0</v>
      </c>
      <c r="V54" s="30">
        <f t="shared" si="10"/>
        <v>0</v>
      </c>
      <c r="W54" s="30">
        <f t="shared" si="11"/>
        <v>0</v>
      </c>
      <c r="X54" s="30">
        <f t="shared" si="12"/>
        <v>0</v>
      </c>
      <c r="Y54" s="30">
        <f t="shared" si="12"/>
        <v>0</v>
      </c>
    </row>
    <row r="55" spans="1:26" ht="54.95" customHeight="1">
      <c r="A55" s="209">
        <v>52</v>
      </c>
      <c r="B55" s="250" t="s">
        <v>241</v>
      </c>
      <c r="C55" s="265">
        <v>5.6000000000000001E-2</v>
      </c>
      <c r="D55" s="266">
        <v>0</v>
      </c>
      <c r="E55" s="266">
        <v>0</v>
      </c>
      <c r="F55" s="266">
        <v>0</v>
      </c>
      <c r="G55" s="266">
        <v>1</v>
      </c>
      <c r="H55" s="266">
        <v>1</v>
      </c>
      <c r="I55" s="266">
        <v>4</v>
      </c>
      <c r="J55" s="267">
        <v>0</v>
      </c>
      <c r="K55" s="267">
        <v>0</v>
      </c>
      <c r="L55" s="267">
        <f t="shared" si="0"/>
        <v>0</v>
      </c>
      <c r="M55" s="268">
        <f t="shared" si="1"/>
        <v>0</v>
      </c>
      <c r="N55" s="122">
        <f t="shared" si="2"/>
        <v>0</v>
      </c>
      <c r="O55" s="122">
        <f t="shared" si="3"/>
        <v>0</v>
      </c>
      <c r="P55" s="122">
        <f t="shared" si="9"/>
        <v>0</v>
      </c>
      <c r="Q55" s="122">
        <f t="shared" si="4"/>
        <v>0</v>
      </c>
      <c r="R55" s="122">
        <f t="shared" si="5"/>
        <v>0</v>
      </c>
      <c r="S55" s="122">
        <f t="shared" si="6"/>
        <v>0</v>
      </c>
      <c r="T55" s="122">
        <f t="shared" si="7"/>
        <v>0</v>
      </c>
      <c r="U55" s="122">
        <f t="shared" si="8"/>
        <v>0</v>
      </c>
      <c r="V55" s="30">
        <f t="shared" si="10"/>
        <v>0</v>
      </c>
      <c r="W55" s="30">
        <f t="shared" si="11"/>
        <v>0</v>
      </c>
      <c r="X55" s="30">
        <f t="shared" si="12"/>
        <v>0</v>
      </c>
      <c r="Y55" s="30">
        <f t="shared" si="12"/>
        <v>0</v>
      </c>
    </row>
    <row r="56" spans="1:26" ht="54.95" customHeight="1">
      <c r="A56" s="209">
        <v>53</v>
      </c>
      <c r="B56" s="250" t="s">
        <v>242</v>
      </c>
      <c r="C56" s="265">
        <v>0.112</v>
      </c>
      <c r="D56" s="266">
        <v>0</v>
      </c>
      <c r="E56" s="266">
        <v>0</v>
      </c>
      <c r="F56" s="266">
        <v>0</v>
      </c>
      <c r="G56" s="266">
        <v>1</v>
      </c>
      <c r="H56" s="266">
        <v>1</v>
      </c>
      <c r="I56" s="266">
        <v>4</v>
      </c>
      <c r="J56" s="267">
        <v>0</v>
      </c>
      <c r="K56" s="267">
        <v>0</v>
      </c>
      <c r="L56" s="267">
        <f t="shared" si="0"/>
        <v>0</v>
      </c>
      <c r="M56" s="268">
        <f t="shared" si="1"/>
        <v>0</v>
      </c>
      <c r="N56" s="122">
        <f t="shared" si="2"/>
        <v>0</v>
      </c>
      <c r="O56" s="122">
        <f t="shared" si="3"/>
        <v>0</v>
      </c>
      <c r="P56" s="122">
        <f t="shared" si="9"/>
        <v>0</v>
      </c>
      <c r="Q56" s="122">
        <f t="shared" si="4"/>
        <v>0</v>
      </c>
      <c r="R56" s="122">
        <f t="shared" si="5"/>
        <v>0</v>
      </c>
      <c r="S56" s="122">
        <f t="shared" si="6"/>
        <v>0</v>
      </c>
      <c r="T56" s="122">
        <f t="shared" si="7"/>
        <v>0</v>
      </c>
      <c r="U56" s="122">
        <f t="shared" si="8"/>
        <v>0</v>
      </c>
      <c r="V56" s="30">
        <f t="shared" si="10"/>
        <v>0</v>
      </c>
      <c r="W56" s="30">
        <f t="shared" si="11"/>
        <v>0</v>
      </c>
      <c r="X56" s="30">
        <f t="shared" si="12"/>
        <v>0</v>
      </c>
      <c r="Y56" s="30">
        <f t="shared" si="12"/>
        <v>0</v>
      </c>
    </row>
    <row r="57" spans="1:26" ht="54.95" customHeight="1">
      <c r="A57" s="209">
        <v>54</v>
      </c>
      <c r="B57" s="250" t="s">
        <v>243</v>
      </c>
      <c r="C57" s="265">
        <v>6</v>
      </c>
      <c r="D57" s="266">
        <v>0</v>
      </c>
      <c r="E57" s="266">
        <v>1</v>
      </c>
      <c r="F57" s="266">
        <v>0</v>
      </c>
      <c r="G57" s="266">
        <v>1</v>
      </c>
      <c r="H57" s="266">
        <v>5</v>
      </c>
      <c r="I57" s="266">
        <v>4</v>
      </c>
      <c r="J57" s="267">
        <v>0</v>
      </c>
      <c r="K57" s="267">
        <v>0</v>
      </c>
      <c r="L57" s="267">
        <f t="shared" si="0"/>
        <v>0</v>
      </c>
      <c r="M57" s="268">
        <f t="shared" si="1"/>
        <v>0</v>
      </c>
      <c r="N57" s="122">
        <f t="shared" si="2"/>
        <v>0</v>
      </c>
      <c r="O57" s="122">
        <f t="shared" si="3"/>
        <v>0</v>
      </c>
      <c r="P57" s="122">
        <f t="shared" si="9"/>
        <v>0</v>
      </c>
      <c r="Q57" s="122">
        <f t="shared" si="4"/>
        <v>0</v>
      </c>
      <c r="R57" s="122">
        <f t="shared" si="5"/>
        <v>0</v>
      </c>
      <c r="S57" s="122">
        <f t="shared" si="6"/>
        <v>0</v>
      </c>
      <c r="T57" s="122">
        <f t="shared" si="7"/>
        <v>0</v>
      </c>
      <c r="U57" s="122">
        <f t="shared" si="8"/>
        <v>0</v>
      </c>
      <c r="V57" s="30">
        <f t="shared" si="10"/>
        <v>0</v>
      </c>
      <c r="W57" s="30">
        <f t="shared" si="11"/>
        <v>0</v>
      </c>
      <c r="X57" s="30">
        <f t="shared" si="12"/>
        <v>0</v>
      </c>
      <c r="Y57" s="30">
        <f t="shared" si="12"/>
        <v>0</v>
      </c>
    </row>
    <row r="58" spans="1:26" ht="54.95" customHeight="1">
      <c r="A58" s="209">
        <v>55</v>
      </c>
      <c r="B58" s="250" t="s">
        <v>244</v>
      </c>
      <c r="C58" s="265">
        <v>6</v>
      </c>
      <c r="D58" s="266">
        <v>0</v>
      </c>
      <c r="E58" s="266">
        <v>1</v>
      </c>
      <c r="F58" s="266">
        <v>0</v>
      </c>
      <c r="G58" s="266">
        <v>1</v>
      </c>
      <c r="H58" s="266">
        <v>5</v>
      </c>
      <c r="I58" s="266">
        <v>4</v>
      </c>
      <c r="J58" s="267">
        <v>0</v>
      </c>
      <c r="K58" s="267">
        <v>0</v>
      </c>
      <c r="L58" s="267">
        <f t="shared" si="0"/>
        <v>0</v>
      </c>
      <c r="M58" s="268">
        <f t="shared" si="1"/>
        <v>0</v>
      </c>
      <c r="N58" s="122">
        <f t="shared" si="2"/>
        <v>0</v>
      </c>
      <c r="O58" s="122">
        <f t="shared" si="3"/>
        <v>0</v>
      </c>
      <c r="P58" s="122">
        <f t="shared" si="9"/>
        <v>0</v>
      </c>
      <c r="Q58" s="122">
        <f t="shared" si="4"/>
        <v>0</v>
      </c>
      <c r="R58" s="122">
        <f t="shared" si="5"/>
        <v>0</v>
      </c>
      <c r="S58" s="122">
        <f t="shared" si="6"/>
        <v>0</v>
      </c>
      <c r="T58" s="122">
        <f t="shared" si="7"/>
        <v>0</v>
      </c>
      <c r="U58" s="122">
        <f t="shared" si="8"/>
        <v>0</v>
      </c>
      <c r="V58" s="30">
        <f t="shared" si="10"/>
        <v>0</v>
      </c>
      <c r="W58" s="30">
        <f t="shared" si="11"/>
        <v>0</v>
      </c>
      <c r="X58" s="30">
        <f t="shared" si="12"/>
        <v>0</v>
      </c>
      <c r="Y58" s="30">
        <f t="shared" si="12"/>
        <v>0</v>
      </c>
    </row>
    <row r="59" spans="1:26" ht="54.95" customHeight="1">
      <c r="A59" s="209">
        <v>56</v>
      </c>
      <c r="B59" s="250" t="s">
        <v>289</v>
      </c>
      <c r="C59" s="265">
        <v>2</v>
      </c>
      <c r="D59" s="266">
        <v>0</v>
      </c>
      <c r="E59" s="266">
        <v>1</v>
      </c>
      <c r="F59" s="266">
        <v>0</v>
      </c>
      <c r="G59" s="266">
        <v>1</v>
      </c>
      <c r="H59" s="266">
        <v>4</v>
      </c>
      <c r="I59" s="266">
        <v>4</v>
      </c>
      <c r="J59" s="267">
        <v>0</v>
      </c>
      <c r="K59" s="267">
        <v>0</v>
      </c>
      <c r="L59" s="267">
        <f t="shared" si="0"/>
        <v>0</v>
      </c>
      <c r="M59" s="268">
        <f t="shared" si="1"/>
        <v>0</v>
      </c>
      <c r="N59" s="122">
        <f t="shared" si="2"/>
        <v>0</v>
      </c>
      <c r="O59" s="122">
        <f t="shared" si="3"/>
        <v>0</v>
      </c>
      <c r="P59" s="122">
        <f t="shared" si="9"/>
        <v>0</v>
      </c>
      <c r="Q59" s="122">
        <f t="shared" si="4"/>
        <v>0</v>
      </c>
      <c r="R59" s="122">
        <f t="shared" si="5"/>
        <v>0</v>
      </c>
      <c r="S59" s="122">
        <f t="shared" si="6"/>
        <v>0</v>
      </c>
      <c r="T59" s="122">
        <f t="shared" si="7"/>
        <v>0</v>
      </c>
      <c r="U59" s="122">
        <f t="shared" si="8"/>
        <v>0</v>
      </c>
      <c r="V59" s="30">
        <f t="shared" si="10"/>
        <v>0</v>
      </c>
      <c r="W59" s="30">
        <f t="shared" si="11"/>
        <v>0</v>
      </c>
      <c r="X59" s="30">
        <f t="shared" si="12"/>
        <v>0</v>
      </c>
      <c r="Y59" s="30">
        <f t="shared" si="12"/>
        <v>0</v>
      </c>
    </row>
    <row r="60" spans="1:26" ht="54.95" customHeight="1">
      <c r="A60" s="209">
        <v>57</v>
      </c>
      <c r="B60" s="250" t="s">
        <v>245</v>
      </c>
      <c r="C60" s="265">
        <v>1.1999999999999999E-3</v>
      </c>
      <c r="D60" s="266">
        <v>0</v>
      </c>
      <c r="E60" s="266">
        <v>0</v>
      </c>
      <c r="F60" s="266">
        <v>0</v>
      </c>
      <c r="G60" s="266">
        <v>1</v>
      </c>
      <c r="H60" s="266">
        <v>1</v>
      </c>
      <c r="I60" s="266">
        <v>4</v>
      </c>
      <c r="J60" s="267">
        <v>0</v>
      </c>
      <c r="K60" s="267">
        <v>0</v>
      </c>
      <c r="L60" s="267">
        <f t="shared" si="0"/>
        <v>0</v>
      </c>
      <c r="M60" s="268">
        <f t="shared" si="1"/>
        <v>0</v>
      </c>
      <c r="N60" s="122">
        <f t="shared" si="2"/>
        <v>0</v>
      </c>
      <c r="O60" s="122">
        <f t="shared" si="3"/>
        <v>0</v>
      </c>
      <c r="P60" s="122">
        <f t="shared" si="9"/>
        <v>0</v>
      </c>
      <c r="Q60" s="122">
        <f t="shared" si="4"/>
        <v>0</v>
      </c>
      <c r="R60" s="122">
        <f t="shared" si="5"/>
        <v>0</v>
      </c>
      <c r="S60" s="122">
        <f t="shared" si="6"/>
        <v>0</v>
      </c>
      <c r="T60" s="122">
        <f t="shared" si="7"/>
        <v>0</v>
      </c>
      <c r="U60" s="122">
        <f t="shared" si="8"/>
        <v>0</v>
      </c>
      <c r="V60" s="30">
        <f t="shared" si="10"/>
        <v>0</v>
      </c>
      <c r="W60" s="30">
        <f t="shared" si="11"/>
        <v>0</v>
      </c>
      <c r="X60" s="30">
        <f t="shared" si="12"/>
        <v>0</v>
      </c>
      <c r="Y60" s="30">
        <f t="shared" si="12"/>
        <v>0</v>
      </c>
    </row>
    <row r="61" spans="1:26" ht="54.95" customHeight="1">
      <c r="A61" s="209">
        <v>58</v>
      </c>
      <c r="B61" s="250" t="s">
        <v>246</v>
      </c>
      <c r="C61" s="265">
        <v>6.0000000000000001E-3</v>
      </c>
      <c r="D61" s="266">
        <v>0</v>
      </c>
      <c r="E61" s="266">
        <v>0</v>
      </c>
      <c r="F61" s="266">
        <v>0</v>
      </c>
      <c r="G61" s="266">
        <v>1</v>
      </c>
      <c r="H61" s="266">
        <v>1</v>
      </c>
      <c r="I61" s="266">
        <v>4</v>
      </c>
      <c r="J61" s="267">
        <v>0</v>
      </c>
      <c r="K61" s="267">
        <v>0</v>
      </c>
      <c r="L61" s="267">
        <f t="shared" si="0"/>
        <v>0</v>
      </c>
      <c r="M61" s="268">
        <f t="shared" si="1"/>
        <v>0</v>
      </c>
      <c r="N61" s="122">
        <f t="shared" si="2"/>
        <v>0</v>
      </c>
      <c r="O61" s="122">
        <f t="shared" si="3"/>
        <v>0</v>
      </c>
      <c r="P61" s="122">
        <f t="shared" si="9"/>
        <v>0</v>
      </c>
      <c r="Q61" s="122">
        <f t="shared" si="4"/>
        <v>0</v>
      </c>
      <c r="R61" s="122">
        <f t="shared" si="5"/>
        <v>0</v>
      </c>
      <c r="S61" s="122">
        <f t="shared" si="6"/>
        <v>0</v>
      </c>
      <c r="T61" s="122">
        <f t="shared" si="7"/>
        <v>0</v>
      </c>
      <c r="U61" s="122">
        <f t="shared" si="8"/>
        <v>0</v>
      </c>
      <c r="V61" s="30">
        <f t="shared" si="10"/>
        <v>0</v>
      </c>
      <c r="W61" s="30">
        <f t="shared" si="11"/>
        <v>0</v>
      </c>
      <c r="X61" s="30">
        <f t="shared" si="12"/>
        <v>0</v>
      </c>
      <c r="Y61" s="30">
        <f t="shared" si="12"/>
        <v>0</v>
      </c>
    </row>
    <row r="62" spans="1:26" ht="54.95" customHeight="1">
      <c r="A62" s="209">
        <v>59</v>
      </c>
      <c r="B62" s="250" t="s">
        <v>247</v>
      </c>
      <c r="C62" s="265">
        <v>8.0000000000000002E-3</v>
      </c>
      <c r="D62" s="266">
        <v>0</v>
      </c>
      <c r="E62" s="266">
        <v>0</v>
      </c>
      <c r="F62" s="266">
        <v>0</v>
      </c>
      <c r="G62" s="266">
        <v>1</v>
      </c>
      <c r="H62" s="266">
        <v>1</v>
      </c>
      <c r="I62" s="266">
        <v>4</v>
      </c>
      <c r="J62" s="267">
        <v>0</v>
      </c>
      <c r="K62" s="267">
        <v>0</v>
      </c>
      <c r="L62" s="267">
        <f t="shared" si="0"/>
        <v>0</v>
      </c>
      <c r="M62" s="268">
        <f t="shared" si="1"/>
        <v>0</v>
      </c>
      <c r="N62" s="122">
        <f t="shared" si="2"/>
        <v>0</v>
      </c>
      <c r="O62" s="122">
        <f t="shared" si="3"/>
        <v>0</v>
      </c>
      <c r="P62" s="122">
        <f t="shared" si="9"/>
        <v>0</v>
      </c>
      <c r="Q62" s="122">
        <f t="shared" si="4"/>
        <v>0</v>
      </c>
      <c r="R62" s="122">
        <f t="shared" si="5"/>
        <v>0</v>
      </c>
      <c r="S62" s="122">
        <f t="shared" si="6"/>
        <v>0</v>
      </c>
      <c r="T62" s="122">
        <f t="shared" si="7"/>
        <v>0</v>
      </c>
      <c r="U62" s="122">
        <f t="shared" si="8"/>
        <v>0</v>
      </c>
      <c r="V62" s="30">
        <f t="shared" si="10"/>
        <v>0</v>
      </c>
      <c r="W62" s="30">
        <f t="shared" si="11"/>
        <v>0</v>
      </c>
      <c r="X62" s="30">
        <f t="shared" si="12"/>
        <v>0</v>
      </c>
      <c r="Y62" s="30">
        <f t="shared" si="12"/>
        <v>0</v>
      </c>
    </row>
    <row r="63" spans="1:26" ht="54.95" customHeight="1">
      <c r="A63" s="209">
        <v>60</v>
      </c>
      <c r="B63" s="250" t="s">
        <v>290</v>
      </c>
      <c r="C63" s="265">
        <v>6</v>
      </c>
      <c r="D63" s="266">
        <v>0</v>
      </c>
      <c r="E63" s="266">
        <v>1</v>
      </c>
      <c r="F63" s="266">
        <v>0</v>
      </c>
      <c r="G63" s="266">
        <v>1</v>
      </c>
      <c r="H63" s="266">
        <v>4</v>
      </c>
      <c r="I63" s="266">
        <v>4</v>
      </c>
      <c r="J63" s="267">
        <v>0</v>
      </c>
      <c r="K63" s="267">
        <v>0</v>
      </c>
      <c r="L63" s="267">
        <f t="shared" si="0"/>
        <v>0</v>
      </c>
      <c r="M63" s="268">
        <f t="shared" si="1"/>
        <v>0</v>
      </c>
      <c r="N63" s="122">
        <f t="shared" si="2"/>
        <v>0</v>
      </c>
      <c r="O63" s="122">
        <f t="shared" si="3"/>
        <v>0</v>
      </c>
      <c r="P63" s="122">
        <f t="shared" si="9"/>
        <v>0</v>
      </c>
      <c r="Q63" s="122">
        <f t="shared" si="4"/>
        <v>0</v>
      </c>
      <c r="R63" s="122">
        <f t="shared" si="5"/>
        <v>0</v>
      </c>
      <c r="S63" s="122">
        <f t="shared" si="6"/>
        <v>0</v>
      </c>
      <c r="T63" s="122">
        <f t="shared" si="7"/>
        <v>0</v>
      </c>
      <c r="U63" s="122">
        <f t="shared" si="8"/>
        <v>0</v>
      </c>
      <c r="V63" s="30">
        <f t="shared" si="10"/>
        <v>0</v>
      </c>
      <c r="W63" s="30">
        <f t="shared" si="11"/>
        <v>0</v>
      </c>
      <c r="X63" s="30">
        <f t="shared" si="12"/>
        <v>0</v>
      </c>
      <c r="Y63" s="30">
        <f t="shared" si="12"/>
        <v>0</v>
      </c>
    </row>
    <row r="64" spans="1:26" ht="54.95" customHeight="1">
      <c r="A64" s="209">
        <v>61</v>
      </c>
      <c r="B64" s="250" t="s">
        <v>248</v>
      </c>
      <c r="C64" s="265">
        <v>2</v>
      </c>
      <c r="D64" s="266">
        <v>0</v>
      </c>
      <c r="E64" s="266">
        <v>1</v>
      </c>
      <c r="F64" s="266">
        <v>0</v>
      </c>
      <c r="G64" s="266">
        <v>0</v>
      </c>
      <c r="H64" s="266">
        <v>1</v>
      </c>
      <c r="I64" s="266">
        <v>2</v>
      </c>
      <c r="J64" s="267">
        <v>0</v>
      </c>
      <c r="K64" s="267">
        <v>0</v>
      </c>
      <c r="L64" s="267">
        <f t="shared" si="0"/>
        <v>0</v>
      </c>
      <c r="M64" s="268">
        <f t="shared" si="1"/>
        <v>0</v>
      </c>
      <c r="N64" s="122">
        <f t="shared" si="2"/>
        <v>0</v>
      </c>
      <c r="O64" s="122">
        <f t="shared" si="3"/>
        <v>0</v>
      </c>
      <c r="P64" s="122">
        <f t="shared" si="9"/>
        <v>0</v>
      </c>
      <c r="Q64" s="122">
        <f t="shared" si="4"/>
        <v>0</v>
      </c>
      <c r="R64" s="122">
        <f t="shared" si="5"/>
        <v>0</v>
      </c>
      <c r="S64" s="122">
        <f t="shared" si="6"/>
        <v>0</v>
      </c>
      <c r="T64" s="122">
        <f t="shared" si="7"/>
        <v>0</v>
      </c>
      <c r="U64" s="122">
        <f t="shared" si="8"/>
        <v>0</v>
      </c>
      <c r="V64" s="30">
        <f t="shared" si="10"/>
        <v>0</v>
      </c>
      <c r="W64" s="30">
        <f t="shared" si="11"/>
        <v>0</v>
      </c>
      <c r="X64" s="30">
        <f t="shared" si="12"/>
        <v>0</v>
      </c>
      <c r="Y64" s="30">
        <f t="shared" si="12"/>
        <v>0</v>
      </c>
    </row>
    <row r="65" spans="1:26" ht="54.95" customHeight="1">
      <c r="A65" s="377" t="s">
        <v>158</v>
      </c>
      <c r="B65" s="377"/>
      <c r="C65" s="378" t="s">
        <v>91</v>
      </c>
      <c r="D65" s="378"/>
      <c r="E65" s="378"/>
      <c r="F65" s="378"/>
      <c r="G65" s="378"/>
      <c r="H65" s="378"/>
      <c r="I65" s="378"/>
      <c r="J65" s="378"/>
      <c r="K65" s="378"/>
      <c r="L65" s="239">
        <f>SUM(L4:L64)</f>
        <v>0</v>
      </c>
      <c r="M65" s="239">
        <f>SUM(M4:M64)</f>
        <v>0</v>
      </c>
      <c r="N65" s="127">
        <f>SUM(N4:N64)</f>
        <v>0</v>
      </c>
      <c r="O65" s="127">
        <f t="shared" ref="O65:Y65" si="13">SUM(O4:O64)</f>
        <v>0</v>
      </c>
      <c r="P65" s="127">
        <f t="shared" si="13"/>
        <v>0</v>
      </c>
      <c r="Q65" s="127">
        <f t="shared" si="13"/>
        <v>0</v>
      </c>
      <c r="R65" s="127">
        <f t="shared" si="13"/>
        <v>0</v>
      </c>
      <c r="S65" s="127">
        <f t="shared" si="13"/>
        <v>0</v>
      </c>
      <c r="T65" s="127">
        <f t="shared" si="13"/>
        <v>0</v>
      </c>
      <c r="U65" s="127">
        <f t="shared" si="13"/>
        <v>0</v>
      </c>
      <c r="V65" s="127">
        <f t="shared" si="13"/>
        <v>0</v>
      </c>
      <c r="W65" s="127">
        <f t="shared" si="13"/>
        <v>0</v>
      </c>
      <c r="X65" s="127">
        <f t="shared" si="13"/>
        <v>0</v>
      </c>
      <c r="Y65" s="127">
        <f t="shared" si="13"/>
        <v>0</v>
      </c>
      <c r="Z65" s="134"/>
    </row>
    <row r="66" spans="1:26" ht="54.95" customHeight="1">
      <c r="A66" s="379" t="s">
        <v>160</v>
      </c>
      <c r="B66" s="379"/>
      <c r="C66" s="379"/>
      <c r="D66" s="379"/>
      <c r="E66" s="379"/>
      <c r="F66" s="379"/>
      <c r="G66" s="379"/>
      <c r="H66" s="379"/>
      <c r="I66" s="379"/>
      <c r="J66" s="379"/>
      <c r="K66" s="379"/>
      <c r="L66" s="379"/>
      <c r="M66" s="216">
        <v>8</v>
      </c>
    </row>
    <row r="67" spans="1:26" s="2" customFormat="1" ht="54.95" customHeight="1">
      <c r="A67" s="3"/>
      <c r="B67" s="3"/>
      <c r="C67" s="125"/>
      <c r="D67" s="126"/>
      <c r="E67" s="126"/>
      <c r="F67" s="126"/>
      <c r="G67" s="126"/>
      <c r="H67" s="126"/>
      <c r="I67" s="126"/>
      <c r="J67" s="3"/>
      <c r="K67" s="3"/>
      <c r="L67" s="3"/>
      <c r="N67" s="29"/>
      <c r="O67" s="29"/>
      <c r="P67" s="29"/>
      <c r="Q67" s="29"/>
      <c r="R67" s="29"/>
      <c r="S67" s="29"/>
      <c r="T67" s="29"/>
      <c r="U67" s="29"/>
      <c r="V67" s="29"/>
      <c r="W67" s="29"/>
      <c r="X67" s="30"/>
      <c r="Y67" s="30"/>
      <c r="Z67" s="121"/>
    </row>
    <row r="68" spans="1:26" s="2" customFormat="1" ht="54.95" customHeight="1">
      <c r="A68" s="3"/>
      <c r="B68" s="3"/>
      <c r="C68" s="125"/>
      <c r="D68" s="126"/>
      <c r="E68" s="126"/>
      <c r="F68" s="126"/>
      <c r="G68" s="126"/>
      <c r="H68" s="126"/>
      <c r="I68" s="126"/>
      <c r="J68" s="3"/>
      <c r="K68" s="3"/>
      <c r="L68" s="3"/>
      <c r="N68" s="29"/>
      <c r="O68" s="29"/>
      <c r="P68" s="29"/>
      <c r="Q68" s="29"/>
      <c r="R68" s="29"/>
      <c r="S68" s="29"/>
      <c r="T68" s="29"/>
      <c r="U68" s="29"/>
      <c r="V68" s="29"/>
      <c r="W68" s="29"/>
      <c r="X68" s="30"/>
      <c r="Y68" s="30"/>
      <c r="Z68" s="121"/>
    </row>
    <row r="69" spans="1:26" s="2" customFormat="1" ht="54.95" customHeight="1">
      <c r="A69" s="3"/>
      <c r="B69" s="3"/>
      <c r="C69" s="125"/>
      <c r="D69" s="126"/>
      <c r="E69" s="126"/>
      <c r="F69" s="126"/>
      <c r="G69" s="126"/>
      <c r="H69" s="126"/>
      <c r="I69" s="126"/>
      <c r="J69" s="3"/>
      <c r="K69" s="3"/>
      <c r="L69" s="3"/>
      <c r="N69" s="29"/>
      <c r="O69" s="29"/>
      <c r="P69" s="29"/>
      <c r="Q69" s="29"/>
      <c r="R69" s="29"/>
      <c r="S69" s="29"/>
      <c r="T69" s="29"/>
      <c r="U69" s="29"/>
      <c r="V69" s="29"/>
      <c r="W69" s="29"/>
      <c r="X69" s="30"/>
      <c r="Y69" s="30"/>
      <c r="Z69" s="121"/>
    </row>
    <row r="70" spans="1:26" ht="54.95" customHeight="1"/>
    <row r="71" spans="1:26" ht="54.95" customHeight="1"/>
    <row r="72" spans="1:26" ht="54.95" customHeight="1"/>
    <row r="73" spans="1:26" ht="54.95" customHeight="1"/>
    <row r="74" spans="1:26" ht="54.95" customHeight="1"/>
    <row r="75" spans="1:26" ht="54.95" customHeight="1"/>
    <row r="76" spans="1:26" ht="54.95" customHeight="1"/>
    <row r="77" spans="1:26" ht="54.95" customHeight="1"/>
    <row r="78" spans="1:26" ht="54.95" customHeight="1"/>
    <row r="79" spans="1:26" ht="54.95" customHeight="1"/>
    <row r="80" spans="1:26" ht="54.95" customHeight="1"/>
    <row r="81" ht="54.95" customHeight="1"/>
    <row r="82" ht="54.95" customHeight="1"/>
    <row r="83" ht="54.95" customHeight="1"/>
    <row r="84" ht="54.95" customHeight="1"/>
    <row r="85" ht="54.95" customHeight="1"/>
    <row r="86" ht="54.95" customHeight="1"/>
    <row r="87" ht="54.95" customHeight="1"/>
    <row r="88" ht="54.95" customHeight="1"/>
    <row r="89" ht="54.95" customHeight="1"/>
    <row r="90" ht="54.95" customHeight="1"/>
    <row r="91" ht="54.95" customHeight="1"/>
    <row r="92" ht="54.95" customHeight="1"/>
    <row r="93" ht="54.95" customHeight="1"/>
    <row r="94" ht="54.95" customHeight="1"/>
    <row r="95" ht="54.95" customHeight="1"/>
    <row r="96" ht="54.95" customHeight="1"/>
    <row r="97" ht="54.95" customHeight="1"/>
    <row r="98" ht="54.95" customHeight="1"/>
    <row r="99" ht="54.95" customHeight="1"/>
    <row r="100" ht="54.95" customHeight="1"/>
    <row r="101" ht="54.95" customHeight="1"/>
    <row r="102" ht="54.95" customHeight="1"/>
    <row r="103" ht="54.95" customHeight="1"/>
    <row r="104" ht="54.95" customHeight="1"/>
    <row r="105" ht="54.95" customHeight="1"/>
    <row r="106" ht="54.95" customHeight="1"/>
    <row r="107" ht="54.95" customHeight="1"/>
    <row r="108" ht="54.95" customHeight="1"/>
    <row r="109" ht="54.95" customHeight="1"/>
    <row r="110" ht="54.95" customHeight="1"/>
    <row r="111" ht="54.95" customHeight="1"/>
    <row r="112" ht="54.95" customHeight="1"/>
    <row r="113" ht="54.95" customHeight="1"/>
    <row r="114" ht="54.95" customHeight="1"/>
    <row r="115" ht="54.95" customHeight="1"/>
    <row r="116" ht="54.95" customHeight="1"/>
    <row r="117" ht="54.95" customHeight="1"/>
    <row r="118" ht="54.95" customHeight="1"/>
    <row r="119" ht="54.95" customHeight="1"/>
    <row r="120" ht="54.95" customHeight="1"/>
    <row r="121" ht="54.95" customHeight="1"/>
    <row r="122" ht="54.95" customHeight="1"/>
    <row r="123" ht="54.95" customHeight="1"/>
    <row r="124" ht="54.95" customHeight="1"/>
    <row r="125" ht="54.95" customHeight="1"/>
    <row r="126" ht="54.95" customHeight="1"/>
    <row r="127" ht="54.95" customHeight="1"/>
    <row r="128" ht="54.95" customHeight="1"/>
    <row r="129" ht="54.95" customHeight="1"/>
    <row r="130" ht="54.95" customHeight="1"/>
    <row r="131" ht="54.95" customHeight="1"/>
    <row r="132" ht="54.95" customHeight="1"/>
    <row r="133" ht="54.95" customHeight="1"/>
    <row r="134" ht="54.95" customHeight="1"/>
    <row r="135" ht="54.95" customHeight="1"/>
    <row r="136" ht="54.95" customHeight="1"/>
    <row r="137" ht="54.95" customHeight="1"/>
    <row r="138" ht="54.95" customHeight="1"/>
    <row r="139" ht="54.95" customHeight="1"/>
    <row r="140" ht="54.95" customHeight="1"/>
    <row r="141" ht="54.95" customHeight="1"/>
    <row r="142" ht="54.95" customHeight="1"/>
    <row r="143" ht="54.95" customHeight="1"/>
    <row r="144" ht="54.95" customHeight="1"/>
    <row r="145" ht="54.95" customHeight="1"/>
    <row r="146" ht="54.95" customHeight="1"/>
    <row r="147" ht="54.95" customHeight="1"/>
    <row r="148" ht="54.95" customHeight="1"/>
    <row r="149" ht="54.95" customHeight="1"/>
    <row r="150" ht="54.95" customHeight="1"/>
    <row r="151" ht="54.95" customHeight="1"/>
    <row r="152" ht="54.95" customHeight="1"/>
    <row r="153" ht="54.95" customHeight="1"/>
    <row r="154" ht="54.95" customHeight="1"/>
    <row r="155" ht="54.95" customHeight="1"/>
    <row r="156" ht="54.95" customHeight="1"/>
    <row r="157" ht="54.95" customHeight="1"/>
    <row r="158" ht="54.95" customHeight="1"/>
    <row r="159" ht="54.95" customHeight="1"/>
    <row r="160" ht="54.95" customHeight="1"/>
    <row r="161" ht="54.95" customHeight="1"/>
    <row r="162" ht="54.95" customHeight="1"/>
    <row r="163" ht="54.95" customHeight="1"/>
    <row r="164" ht="54.95" customHeight="1"/>
    <row r="165" ht="54.95" customHeight="1"/>
    <row r="166" ht="54.95" customHeight="1"/>
    <row r="167" ht="54.95" customHeight="1"/>
    <row r="168" ht="54.95" customHeight="1"/>
    <row r="169" ht="54.95" customHeight="1"/>
    <row r="170" ht="54.95" customHeight="1"/>
    <row r="171" ht="54.95" customHeight="1"/>
    <row r="172" ht="54.95" customHeight="1"/>
    <row r="173" ht="54.95" customHeight="1"/>
    <row r="174" ht="54.95" customHeight="1"/>
    <row r="175" ht="54.95" customHeight="1"/>
    <row r="176" ht="54.95" customHeight="1"/>
    <row r="177" spans="1:26" ht="54.95" customHeight="1"/>
    <row r="178" spans="1:26" ht="54.95" customHeight="1"/>
    <row r="179" spans="1:26" ht="54.95" customHeight="1"/>
    <row r="180" spans="1:26" ht="54.95" customHeight="1"/>
    <row r="181" spans="1:26" ht="54.95" customHeight="1"/>
    <row r="182" spans="1:26" s="2" customFormat="1" ht="54.95" customHeight="1">
      <c r="A182" s="3"/>
      <c r="B182" s="3"/>
      <c r="C182" s="125"/>
      <c r="D182" s="126"/>
      <c r="E182" s="126"/>
      <c r="F182" s="126"/>
      <c r="G182" s="126"/>
      <c r="H182" s="126"/>
      <c r="I182" s="126"/>
      <c r="J182" s="3"/>
      <c r="K182" s="3"/>
      <c r="L182" s="3"/>
      <c r="N182" s="29"/>
      <c r="O182" s="29"/>
      <c r="P182" s="29"/>
      <c r="Q182" s="29"/>
      <c r="R182" s="29"/>
      <c r="S182" s="29"/>
      <c r="T182" s="29"/>
      <c r="U182" s="29"/>
      <c r="V182" s="29"/>
      <c r="W182" s="29"/>
      <c r="X182" s="30"/>
      <c r="Y182" s="30"/>
      <c r="Z182" s="121"/>
    </row>
    <row r="183" spans="1:26" s="2" customFormat="1" ht="54.95" customHeight="1">
      <c r="A183" s="3"/>
      <c r="B183" s="3"/>
      <c r="C183" s="125"/>
      <c r="D183" s="126"/>
      <c r="E183" s="126"/>
      <c r="F183" s="126"/>
      <c r="G183" s="126"/>
      <c r="H183" s="126"/>
      <c r="I183" s="126"/>
      <c r="J183" s="3"/>
      <c r="K183" s="3"/>
      <c r="L183" s="3"/>
      <c r="N183" s="29"/>
      <c r="O183" s="29"/>
      <c r="P183" s="29"/>
      <c r="Q183" s="29"/>
      <c r="R183" s="29"/>
      <c r="S183" s="29"/>
      <c r="T183" s="29"/>
      <c r="U183" s="29"/>
      <c r="V183" s="29"/>
      <c r="W183" s="29"/>
      <c r="X183" s="30"/>
      <c r="Y183" s="30"/>
      <c r="Z183" s="121"/>
    </row>
    <row r="184" spans="1:26" s="2" customFormat="1" ht="54.95" customHeight="1">
      <c r="A184" s="3"/>
      <c r="B184" s="3"/>
      <c r="C184" s="125"/>
      <c r="D184" s="126"/>
      <c r="E184" s="126"/>
      <c r="F184" s="126"/>
      <c r="G184" s="126"/>
      <c r="H184" s="126"/>
      <c r="I184" s="126"/>
      <c r="J184" s="3"/>
      <c r="K184" s="3"/>
      <c r="L184" s="3"/>
      <c r="N184" s="29"/>
      <c r="O184" s="29"/>
      <c r="P184" s="29"/>
      <c r="Q184" s="29"/>
      <c r="R184" s="29"/>
      <c r="S184" s="29"/>
      <c r="T184" s="29"/>
      <c r="U184" s="29"/>
      <c r="V184" s="29"/>
      <c r="W184" s="29"/>
      <c r="X184" s="30"/>
      <c r="Y184" s="30"/>
      <c r="Z184" s="121"/>
    </row>
    <row r="185" spans="1:26" s="2" customFormat="1" ht="54.95" customHeight="1">
      <c r="A185" s="3"/>
      <c r="B185" s="3"/>
      <c r="C185" s="125"/>
      <c r="D185" s="126"/>
      <c r="E185" s="126"/>
      <c r="F185" s="126"/>
      <c r="G185" s="126"/>
      <c r="H185" s="126"/>
      <c r="I185" s="126"/>
      <c r="J185" s="3"/>
      <c r="K185" s="3"/>
      <c r="L185" s="3"/>
      <c r="N185" s="29"/>
      <c r="O185" s="29"/>
      <c r="P185" s="29"/>
      <c r="Q185" s="29"/>
      <c r="R185" s="29"/>
      <c r="S185" s="29"/>
      <c r="T185" s="29"/>
      <c r="U185" s="29"/>
      <c r="V185" s="29"/>
      <c r="W185" s="29"/>
      <c r="X185" s="30"/>
      <c r="Y185" s="30"/>
      <c r="Z185" s="121"/>
    </row>
    <row r="186" spans="1:26" s="2" customFormat="1" ht="54.95" customHeight="1">
      <c r="A186" s="3"/>
      <c r="B186" s="3"/>
      <c r="C186" s="125"/>
      <c r="D186" s="126"/>
      <c r="E186" s="126"/>
      <c r="F186" s="126"/>
      <c r="G186" s="126"/>
      <c r="H186" s="126"/>
      <c r="I186" s="126"/>
      <c r="J186" s="3"/>
      <c r="K186" s="3"/>
      <c r="L186" s="3"/>
      <c r="N186" s="29"/>
      <c r="O186" s="29"/>
      <c r="P186" s="29"/>
      <c r="Q186" s="29"/>
      <c r="R186" s="29"/>
      <c r="S186" s="29"/>
      <c r="T186" s="29"/>
      <c r="U186" s="29"/>
      <c r="V186" s="29"/>
      <c r="W186" s="29"/>
      <c r="X186" s="30"/>
      <c r="Y186" s="30"/>
      <c r="Z186" s="121"/>
    </row>
    <row r="187" spans="1:26" s="2" customFormat="1" ht="54.95" customHeight="1">
      <c r="A187" s="3"/>
      <c r="B187" s="3"/>
      <c r="C187" s="125"/>
      <c r="D187" s="126"/>
      <c r="E187" s="126"/>
      <c r="F187" s="126"/>
      <c r="G187" s="126"/>
      <c r="H187" s="126"/>
      <c r="I187" s="126"/>
      <c r="J187" s="3"/>
      <c r="K187" s="3"/>
      <c r="L187" s="3"/>
      <c r="N187" s="29"/>
      <c r="O187" s="29"/>
      <c r="P187" s="29"/>
      <c r="Q187" s="29"/>
      <c r="R187" s="29"/>
      <c r="S187" s="29"/>
      <c r="T187" s="29"/>
      <c r="U187" s="29"/>
      <c r="V187" s="29"/>
      <c r="W187" s="29"/>
      <c r="X187" s="30"/>
      <c r="Y187" s="30"/>
      <c r="Z187" s="121"/>
    </row>
    <row r="188" spans="1:26" s="137" customFormat="1" ht="54.95" customHeight="1">
      <c r="C188" s="138"/>
      <c r="D188" s="139"/>
      <c r="E188" s="139"/>
      <c r="F188" s="139"/>
      <c r="G188" s="139"/>
      <c r="H188" s="139"/>
      <c r="I188" s="139"/>
      <c r="N188" s="140"/>
      <c r="O188" s="140"/>
      <c r="P188" s="140"/>
      <c r="Q188" s="140"/>
      <c r="R188" s="140"/>
      <c r="S188" s="140"/>
      <c r="T188" s="140"/>
      <c r="U188" s="140"/>
      <c r="V188" s="140"/>
      <c r="W188" s="140"/>
      <c r="X188" s="141"/>
      <c r="Y188" s="141"/>
      <c r="Z188" s="141"/>
    </row>
    <row r="189" spans="1:26" s="137" customFormat="1" ht="54.95" customHeight="1">
      <c r="B189" s="137" t="str">
        <f>A65</f>
        <v>كميت سنجه عملكرد همسان شده :</v>
      </c>
      <c r="C189" s="138" t="s">
        <v>161</v>
      </c>
      <c r="D189" s="139">
        <f>L65*[21]روکش!$D$3</f>
        <v>0</v>
      </c>
      <c r="E189" s="139"/>
      <c r="F189" s="139"/>
      <c r="G189" s="139"/>
      <c r="H189" s="139"/>
      <c r="I189" s="139"/>
      <c r="N189" s="140"/>
      <c r="O189" s="140"/>
      <c r="P189" s="140"/>
      <c r="Q189" s="140"/>
      <c r="R189" s="140"/>
      <c r="S189" s="140"/>
      <c r="T189" s="140"/>
      <c r="U189" s="140"/>
      <c r="V189" s="140"/>
      <c r="W189" s="140"/>
      <c r="X189" s="141"/>
      <c r="Y189" s="141"/>
      <c r="Z189" s="141"/>
    </row>
    <row r="190" spans="1:26" s="137" customFormat="1" ht="69.75" customHeight="1">
      <c r="C190" s="138" t="s">
        <v>331</v>
      </c>
      <c r="D190" s="139">
        <f>M65*[21]روکش!$D$3</f>
        <v>0</v>
      </c>
      <c r="E190" s="139"/>
      <c r="F190" s="139"/>
      <c r="G190" s="139"/>
      <c r="H190" s="139"/>
      <c r="I190" s="139"/>
      <c r="N190" s="140"/>
      <c r="O190" s="140"/>
      <c r="P190" s="140"/>
      <c r="Q190" s="140"/>
      <c r="R190" s="140"/>
      <c r="S190" s="140"/>
      <c r="T190" s="140"/>
      <c r="U190" s="140"/>
      <c r="V190" s="140"/>
      <c r="W190" s="140"/>
      <c r="X190" s="141"/>
      <c r="Y190" s="141"/>
      <c r="Z190" s="141"/>
    </row>
    <row r="191" spans="1:26" s="137" customFormat="1" ht="54.95" customHeight="1">
      <c r="C191" s="138"/>
      <c r="D191" s="139"/>
      <c r="E191" s="139"/>
      <c r="F191" s="139"/>
      <c r="G191" s="139"/>
      <c r="H191" s="139"/>
      <c r="I191" s="139"/>
      <c r="N191" s="140"/>
      <c r="O191" s="140"/>
      <c r="P191" s="140"/>
      <c r="Q191" s="140"/>
      <c r="R191" s="140"/>
      <c r="S191" s="140"/>
      <c r="T191" s="140"/>
      <c r="U191" s="140"/>
      <c r="V191" s="140"/>
      <c r="W191" s="140"/>
      <c r="X191" s="141"/>
      <c r="Y191" s="141"/>
      <c r="Z191" s="141"/>
    </row>
    <row r="192" spans="1:26" s="2" customFormat="1" ht="54.95" customHeight="1">
      <c r="A192" s="3"/>
      <c r="B192" s="3"/>
      <c r="C192" s="125"/>
      <c r="D192" s="126"/>
      <c r="E192" s="126"/>
      <c r="F192" s="126"/>
      <c r="G192" s="126"/>
      <c r="H192" s="126"/>
      <c r="I192" s="126"/>
      <c r="J192" s="3"/>
      <c r="K192" s="3"/>
      <c r="L192" s="3"/>
      <c r="N192" s="29"/>
      <c r="O192" s="29"/>
      <c r="P192" s="29"/>
      <c r="Q192" s="29"/>
      <c r="R192" s="29"/>
      <c r="S192" s="29"/>
      <c r="T192" s="29"/>
      <c r="U192" s="29"/>
      <c r="V192" s="29"/>
      <c r="W192" s="29"/>
      <c r="X192" s="30"/>
      <c r="Y192" s="30"/>
      <c r="Z192" s="121"/>
    </row>
    <row r="193" spans="1:26" s="2" customFormat="1" ht="54.95" customHeight="1">
      <c r="A193" s="3"/>
      <c r="B193" s="3"/>
      <c r="C193" s="125"/>
      <c r="D193" s="126"/>
      <c r="E193" s="126"/>
      <c r="F193" s="126"/>
      <c r="G193" s="126"/>
      <c r="H193" s="126"/>
      <c r="I193" s="126"/>
      <c r="J193" s="3"/>
      <c r="K193" s="3"/>
      <c r="L193" s="3"/>
      <c r="N193" s="29"/>
      <c r="O193" s="29"/>
      <c r="P193" s="29"/>
      <c r="Q193" s="29"/>
      <c r="R193" s="29"/>
      <c r="S193" s="29"/>
      <c r="T193" s="29"/>
      <c r="U193" s="29"/>
      <c r="V193" s="29"/>
      <c r="W193" s="29"/>
      <c r="X193" s="30"/>
      <c r="Y193" s="30"/>
      <c r="Z193" s="121"/>
    </row>
    <row r="194" spans="1:26" s="2" customFormat="1" ht="54.95" customHeight="1">
      <c r="A194" s="3"/>
      <c r="B194" s="3"/>
      <c r="C194" s="125"/>
      <c r="D194" s="126"/>
      <c r="E194" s="126"/>
      <c r="F194" s="126"/>
      <c r="G194" s="126"/>
      <c r="H194" s="126"/>
      <c r="I194" s="126"/>
      <c r="J194" s="3"/>
      <c r="K194" s="3"/>
      <c r="L194" s="3"/>
      <c r="N194" s="29"/>
      <c r="O194" s="29"/>
      <c r="P194" s="29"/>
      <c r="Q194" s="29"/>
      <c r="R194" s="29"/>
      <c r="S194" s="29"/>
      <c r="T194" s="29"/>
      <c r="U194" s="29"/>
      <c r="V194" s="29"/>
      <c r="W194" s="29"/>
      <c r="X194" s="30"/>
      <c r="Y194" s="30"/>
      <c r="Z194" s="121"/>
    </row>
    <row r="195" spans="1:26" s="2" customFormat="1" ht="54.95" customHeight="1">
      <c r="A195" s="3"/>
      <c r="B195" s="3"/>
      <c r="C195" s="125"/>
      <c r="D195" s="126"/>
      <c r="E195" s="126"/>
      <c r="F195" s="126"/>
      <c r="G195" s="126"/>
      <c r="H195" s="126"/>
      <c r="I195" s="126"/>
      <c r="J195" s="3"/>
      <c r="K195" s="3"/>
      <c r="L195" s="3"/>
      <c r="N195" s="29"/>
      <c r="O195" s="29"/>
      <c r="P195" s="29"/>
      <c r="Q195" s="29"/>
      <c r="R195" s="29"/>
      <c r="S195" s="29"/>
      <c r="T195" s="29"/>
      <c r="U195" s="29"/>
      <c r="V195" s="29"/>
      <c r="W195" s="29"/>
      <c r="X195" s="30"/>
      <c r="Y195" s="30"/>
      <c r="Z195" s="121"/>
    </row>
    <row r="196" spans="1:26" s="2" customFormat="1" ht="54.95" customHeight="1">
      <c r="A196" s="3"/>
      <c r="B196" s="3"/>
      <c r="C196" s="125"/>
      <c r="D196" s="126"/>
      <c r="E196" s="126"/>
      <c r="F196" s="126"/>
      <c r="G196" s="126"/>
      <c r="H196" s="126"/>
      <c r="I196" s="126"/>
      <c r="J196" s="3"/>
      <c r="K196" s="3"/>
      <c r="L196" s="3"/>
      <c r="N196" s="29"/>
      <c r="O196" s="29"/>
      <c r="P196" s="29"/>
      <c r="Q196" s="29"/>
      <c r="R196" s="29"/>
      <c r="S196" s="29"/>
      <c r="T196" s="29"/>
      <c r="U196" s="29"/>
      <c r="V196" s="29"/>
      <c r="W196" s="29"/>
      <c r="X196" s="30"/>
      <c r="Y196" s="30"/>
      <c r="Z196" s="121"/>
    </row>
    <row r="197" spans="1:26" s="2" customFormat="1" ht="54.95" customHeight="1">
      <c r="A197" s="3"/>
      <c r="B197" s="3"/>
      <c r="C197" s="125"/>
      <c r="D197" s="126"/>
      <c r="E197" s="126"/>
      <c r="F197" s="126"/>
      <c r="G197" s="126"/>
      <c r="H197" s="126"/>
      <c r="I197" s="126"/>
      <c r="J197" s="3"/>
      <c r="K197" s="3"/>
      <c r="L197" s="3"/>
      <c r="N197" s="29"/>
      <c r="O197" s="29"/>
      <c r="P197" s="29"/>
      <c r="Q197" s="29"/>
      <c r="R197" s="29"/>
      <c r="S197" s="29"/>
      <c r="T197" s="29"/>
      <c r="U197" s="29"/>
      <c r="V197" s="29"/>
      <c r="W197" s="29"/>
      <c r="X197" s="30"/>
      <c r="Y197" s="30"/>
      <c r="Z197" s="121"/>
    </row>
    <row r="198" spans="1:26" ht="54.95" customHeight="1"/>
    <row r="199" spans="1:26" ht="54.95" customHeight="1"/>
    <row r="200" spans="1:26" ht="54.95" customHeight="1"/>
    <row r="201" spans="1:26" ht="54.95" customHeight="1"/>
    <row r="202" spans="1:26" ht="54.95" customHeight="1"/>
    <row r="203" spans="1:26" ht="54.95" customHeight="1"/>
    <row r="204" spans="1:26" ht="54.95" customHeight="1"/>
    <row r="205" spans="1:26" ht="54.95" customHeight="1"/>
    <row r="206" spans="1:26" ht="54.95" customHeight="1"/>
    <row r="207" spans="1:26" ht="54.95" customHeight="1"/>
    <row r="208" spans="1:26" ht="54.95" customHeight="1"/>
    <row r="209" ht="54.95" customHeight="1"/>
    <row r="210" ht="54.95" customHeight="1"/>
    <row r="211" ht="54.95" customHeight="1"/>
    <row r="212" ht="54.95" customHeight="1"/>
    <row r="213" ht="54.95" customHeight="1"/>
    <row r="214" ht="54.95" customHeight="1"/>
    <row r="215" ht="54.95" customHeight="1"/>
    <row r="216" ht="54.95" customHeight="1"/>
    <row r="217" ht="54.95" customHeight="1"/>
    <row r="218" ht="54.95" customHeight="1"/>
    <row r="219" ht="54.95" customHeight="1"/>
    <row r="220" ht="54.95" customHeight="1"/>
    <row r="221" ht="54.95" customHeight="1"/>
    <row r="222" ht="54.95" customHeight="1"/>
    <row r="223" ht="54.95" customHeight="1"/>
    <row r="224" ht="54.95" customHeight="1"/>
    <row r="225" ht="54.95" customHeight="1"/>
    <row r="226" ht="54.95" customHeight="1"/>
    <row r="227" ht="54.95" customHeight="1"/>
    <row r="228" ht="54.95" customHeight="1"/>
    <row r="229" ht="54.95" customHeight="1"/>
    <row r="230" ht="54.95" customHeight="1"/>
    <row r="231" ht="54.95" customHeight="1"/>
    <row r="232" ht="54.95" customHeight="1"/>
    <row r="233" ht="54.95" customHeight="1"/>
    <row r="234" ht="54.95" customHeight="1"/>
    <row r="235" ht="54.95" customHeight="1"/>
    <row r="236" ht="54.95" customHeight="1"/>
    <row r="237" ht="54.95" customHeight="1"/>
    <row r="238" ht="54.95" customHeight="1"/>
    <row r="239" ht="54.95" customHeight="1"/>
    <row r="240" ht="54.95" customHeight="1"/>
    <row r="241" ht="54.95" customHeight="1"/>
    <row r="242" ht="54.95" customHeight="1"/>
    <row r="243" ht="54.95" customHeight="1"/>
    <row r="244" ht="54.95" customHeight="1"/>
    <row r="245" ht="54.95" customHeight="1"/>
    <row r="246" ht="54.95" customHeight="1"/>
    <row r="247" ht="54.95" customHeight="1"/>
    <row r="248" ht="54.95" customHeight="1"/>
    <row r="249" ht="54.95" customHeight="1"/>
    <row r="250" ht="54.95" customHeight="1"/>
    <row r="251" ht="54.95" customHeight="1"/>
    <row r="252" ht="54.95" customHeight="1"/>
    <row r="253" ht="54.95" customHeight="1"/>
    <row r="254" ht="54.95" customHeight="1"/>
    <row r="255" ht="54.95" customHeight="1"/>
    <row r="256" ht="54.95" customHeight="1"/>
    <row r="257" ht="54.95" customHeight="1"/>
    <row r="258" ht="54.95" customHeight="1"/>
    <row r="259" ht="54.95" customHeight="1"/>
    <row r="260" ht="54.95" customHeight="1"/>
    <row r="261" ht="54.95" customHeight="1"/>
    <row r="262" ht="54.95" customHeight="1"/>
    <row r="263" ht="54.95" customHeight="1"/>
    <row r="264" ht="54.95" customHeight="1"/>
    <row r="265" ht="54.95" customHeight="1"/>
    <row r="266" ht="54.95" customHeight="1"/>
    <row r="267" ht="54.95" customHeight="1"/>
    <row r="268" ht="54.95" customHeight="1"/>
    <row r="269" ht="54.95" customHeight="1"/>
    <row r="270" ht="54.95" customHeight="1"/>
    <row r="271" ht="54.95" customHeight="1"/>
    <row r="272" ht="54.95" customHeight="1"/>
    <row r="273" ht="54.95" customHeight="1"/>
    <row r="274" ht="54.95" customHeight="1"/>
    <row r="275" ht="54.95" customHeight="1"/>
    <row r="276" ht="54.95" customHeight="1"/>
    <row r="277" ht="54.95" customHeight="1"/>
    <row r="278" ht="54.95" customHeight="1"/>
    <row r="279" ht="54.95" customHeight="1"/>
    <row r="280" ht="54.95" customHeight="1"/>
    <row r="281" ht="54.95" customHeight="1"/>
    <row r="282" ht="54.95" customHeight="1"/>
    <row r="283" ht="54.95" customHeight="1"/>
    <row r="284" ht="54.95" customHeight="1"/>
    <row r="285" ht="54.95" customHeight="1"/>
    <row r="286" ht="54.95" customHeight="1"/>
    <row r="287" ht="54.95" customHeight="1"/>
    <row r="288" ht="54.95" customHeight="1"/>
    <row r="289" ht="54.95" customHeight="1"/>
    <row r="290" ht="54.95" customHeight="1"/>
    <row r="291" ht="54.95" customHeight="1"/>
    <row r="292" ht="54.95" customHeight="1"/>
    <row r="293" ht="54.95" customHeight="1"/>
    <row r="294" ht="54.95" customHeight="1"/>
    <row r="295" ht="54.95" customHeight="1"/>
    <row r="296" ht="54.95" customHeight="1"/>
    <row r="297" ht="54.95" customHeight="1"/>
    <row r="298" ht="54.95" customHeight="1"/>
    <row r="299" ht="54.95" customHeight="1"/>
    <row r="300" ht="54.95" customHeight="1"/>
    <row r="301" ht="54.95" customHeight="1"/>
    <row r="302" ht="54.95" customHeight="1"/>
    <row r="303" ht="54.95" customHeight="1"/>
    <row r="304" ht="54.95" customHeight="1"/>
    <row r="305" ht="54.95" customHeight="1"/>
    <row r="306" ht="54.95" customHeight="1"/>
    <row r="307" ht="54.95" customHeight="1"/>
    <row r="308" ht="54.95" customHeight="1"/>
    <row r="309" ht="54.95" customHeight="1"/>
    <row r="310" ht="54.95" customHeight="1"/>
    <row r="311" ht="54.95" customHeight="1"/>
    <row r="312" ht="54.95" customHeight="1"/>
    <row r="313" ht="54.95" customHeight="1"/>
  </sheetData>
  <mergeCells count="13">
    <mergeCell ref="A65:B65"/>
    <mergeCell ref="C65:K65"/>
    <mergeCell ref="A66:L66"/>
    <mergeCell ref="A1:M1"/>
    <mergeCell ref="B2:B3"/>
    <mergeCell ref="C2:C3"/>
    <mergeCell ref="D2:G2"/>
    <mergeCell ref="H2:H3"/>
    <mergeCell ref="I2:I3"/>
    <mergeCell ref="J2:J3"/>
    <mergeCell ref="K2:K3"/>
    <mergeCell ref="L2:L3"/>
    <mergeCell ref="M2:M3"/>
  </mergeCells>
  <pageMargins left="0.7" right="0.7" top="0.75" bottom="0.75" header="0.3" footer="0.3"/>
  <pageSetup paperSize="9" scale="71"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rightToLeft="1" workbookViewId="0">
      <selection sqref="A1:C1"/>
    </sheetView>
  </sheetViews>
  <sheetFormatPr defaultRowHeight="27"/>
  <cols>
    <col min="1" max="1" width="18.33203125" style="60" customWidth="1"/>
    <col min="2" max="2" width="126.6640625" style="60" customWidth="1"/>
    <col min="3" max="3" width="18.33203125" style="60" customWidth="1"/>
    <col min="4" max="16384" width="9.33203125" style="60"/>
  </cols>
  <sheetData>
    <row r="1" spans="1:3" ht="59.25" customHeight="1">
      <c r="A1" s="387" t="s">
        <v>618</v>
      </c>
      <c r="B1" s="387"/>
      <c r="C1" s="387"/>
    </row>
    <row r="2" spans="1:3" s="62" customFormat="1" ht="22.5" customHeight="1">
      <c r="A2" s="388"/>
      <c r="B2" s="61" t="str">
        <f>'[21]سیاست ها و برنامه ها '!A1</f>
        <v xml:space="preserve"> اهداف کلی 1: تامین بهداشت و سلامت دام</v>
      </c>
      <c r="C2" s="389"/>
    </row>
    <row r="3" spans="1:3" s="62" customFormat="1" ht="22.5" customHeight="1">
      <c r="A3" s="388"/>
      <c r="B3" s="63" t="str">
        <f>'[21]سیاست ها و برنامه ها '!A2</f>
        <v xml:space="preserve">راهبرد 2-1: ارتقاء شاخص های کنترل بیماری های دام، طیور و آبزیان </v>
      </c>
      <c r="C3" s="389"/>
    </row>
    <row r="4" spans="1:3" s="62" customFormat="1" ht="22.5" customHeight="1">
      <c r="A4" s="388"/>
      <c r="B4" s="64" t="str">
        <f>CONCATENATE([21]روکش!A1," ",[21]روکش!B1)</f>
        <v xml:space="preserve"> عنوان هدف کمی: کاهش بروز بیماری های واگیر دام در واحدهای اپیدمیولوژیک</v>
      </c>
      <c r="C4" s="389"/>
    </row>
    <row r="5" spans="1:3" s="62" customFormat="1" ht="22.5" customHeight="1">
      <c r="A5" s="388"/>
      <c r="B5" s="64" t="str">
        <f>CONCATENATE([21]روکش!A2,"  ",[21]روکش!B2,"     ",[21]روکش!C2,"  ",[21]روکش!D2)</f>
        <v>عنوان سنجه عملکرد:  هزار نوبت مایه کوبی     شاخص سنجه:  8</v>
      </c>
      <c r="C5" s="389"/>
    </row>
    <row r="6" spans="1:3" s="62" customFormat="1" ht="22.5" customHeight="1">
      <c r="A6" s="388"/>
      <c r="B6" s="64" t="s">
        <v>559</v>
      </c>
      <c r="C6" s="389"/>
    </row>
    <row r="7" spans="1:3" s="62" customFormat="1" ht="22.5" customHeight="1">
      <c r="A7" s="388"/>
      <c r="B7" s="64" t="s">
        <v>554</v>
      </c>
      <c r="C7" s="389"/>
    </row>
    <row r="8" spans="1:3" ht="22.5" customHeight="1">
      <c r="A8" s="388"/>
      <c r="B8" s="65" t="s">
        <v>294</v>
      </c>
      <c r="C8" s="389"/>
    </row>
    <row r="9" spans="1:3" s="66" customFormat="1" ht="22.5" customHeight="1">
      <c r="A9" s="388"/>
      <c r="B9" s="63" t="s">
        <v>295</v>
      </c>
      <c r="C9" s="389"/>
    </row>
    <row r="10" spans="1:3" s="68" customFormat="1" ht="22.5" customHeight="1">
      <c r="A10" s="388"/>
      <c r="B10" s="67" t="s">
        <v>296</v>
      </c>
      <c r="C10" s="389"/>
    </row>
    <row r="11" spans="1:3" s="68" customFormat="1" ht="22.5" customHeight="1">
      <c r="A11" s="388"/>
      <c r="B11" s="67" t="s">
        <v>555</v>
      </c>
      <c r="C11" s="389"/>
    </row>
    <row r="12" spans="1:3" s="68" customFormat="1" ht="22.5" customHeight="1">
      <c r="A12" s="388"/>
      <c r="B12" s="67" t="s">
        <v>300</v>
      </c>
      <c r="C12" s="389"/>
    </row>
    <row r="13" spans="1:3" s="68" customFormat="1" ht="22.5" customHeight="1">
      <c r="A13" s="388"/>
      <c r="B13" s="67" t="s">
        <v>318</v>
      </c>
      <c r="C13" s="389"/>
    </row>
    <row r="14" spans="1:3" s="68" customFormat="1" ht="22.5" customHeight="1">
      <c r="A14" s="388"/>
      <c r="B14" s="67" t="s">
        <v>556</v>
      </c>
      <c r="C14" s="389"/>
    </row>
    <row r="15" spans="1:3" ht="22.5" customHeight="1">
      <c r="A15" s="388"/>
      <c r="B15" s="69" t="s">
        <v>557</v>
      </c>
      <c r="C15" s="389"/>
    </row>
    <row r="16" spans="1:3" ht="22.5" customHeight="1">
      <c r="A16" s="388"/>
      <c r="B16" s="69" t="s">
        <v>287</v>
      </c>
      <c r="C16" s="389"/>
    </row>
    <row r="17" spans="1:3" s="70" customFormat="1" ht="22.5" customHeight="1">
      <c r="A17" s="388"/>
      <c r="B17" s="69" t="s">
        <v>286</v>
      </c>
      <c r="C17" s="389"/>
    </row>
    <row r="18" spans="1:3" s="70" customFormat="1" ht="22.5" customHeight="1">
      <c r="A18" s="388"/>
      <c r="B18" s="71" t="s">
        <v>558</v>
      </c>
      <c r="C18" s="389"/>
    </row>
    <row r="19" spans="1:3" ht="60.75" customHeight="1">
      <c r="A19" s="390"/>
      <c r="B19" s="390"/>
      <c r="C19" s="390"/>
    </row>
    <row r="20" spans="1:3" ht="22.5" customHeight="1"/>
    <row r="21" spans="1:3" ht="22.5" customHeight="1"/>
  </sheetData>
  <dataConsolidate/>
  <mergeCells count="4">
    <mergeCell ref="A1:C1"/>
    <mergeCell ref="A2:A18"/>
    <mergeCell ref="C2:C18"/>
    <mergeCell ref="A19:C19"/>
  </mergeCell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2"/>
  <sheetViews>
    <sheetView showGridLines="0" rightToLeft="1" workbookViewId="0">
      <pane xSplit="11" topLeftCell="L1" activePane="topRight" state="frozen"/>
      <selection pane="topRight" activeCell="M2" sqref="M2"/>
    </sheetView>
  </sheetViews>
  <sheetFormatPr defaultRowHeight="18"/>
  <cols>
    <col min="1" max="1" width="15.5" customWidth="1"/>
    <col min="2" max="2" width="11.5" customWidth="1"/>
    <col min="3" max="3" width="50.6640625" customWidth="1"/>
    <col min="4" max="4" width="21.6640625" customWidth="1"/>
    <col min="5" max="10" width="9.83203125" customWidth="1"/>
    <col min="11" max="11" width="16.83203125" customWidth="1"/>
    <col min="12" max="12" width="12.1640625" customWidth="1"/>
  </cols>
  <sheetData>
    <row r="1" spans="1:11" ht="52.5" customHeight="1">
      <c r="A1" s="447" t="s">
        <v>733</v>
      </c>
      <c r="B1" s="448"/>
      <c r="C1" s="448"/>
      <c r="D1" s="448"/>
      <c r="E1" s="448"/>
      <c r="F1" s="448"/>
      <c r="G1" s="448"/>
      <c r="H1" s="448"/>
      <c r="I1" s="448"/>
      <c r="J1" s="448"/>
      <c r="K1" s="449"/>
    </row>
    <row r="2" spans="1:11" ht="78" customHeight="1">
      <c r="A2" s="438"/>
      <c r="B2" s="217" t="s">
        <v>0</v>
      </c>
      <c r="C2" s="218" t="s">
        <v>633</v>
      </c>
      <c r="D2" s="219" t="s">
        <v>632</v>
      </c>
      <c r="E2" s="219">
        <v>1396</v>
      </c>
      <c r="F2" s="219">
        <v>1397</v>
      </c>
      <c r="G2" s="219">
        <v>1398</v>
      </c>
      <c r="H2" s="219">
        <v>1399</v>
      </c>
      <c r="I2" s="219">
        <v>1400</v>
      </c>
      <c r="J2" s="219">
        <v>1401</v>
      </c>
      <c r="K2" s="439"/>
    </row>
    <row r="3" spans="1:11" ht="32.450000000000003" customHeight="1">
      <c r="A3" s="438"/>
      <c r="B3" s="402" t="s">
        <v>629</v>
      </c>
      <c r="C3" s="400" t="s">
        <v>668</v>
      </c>
      <c r="D3" s="220" t="s">
        <v>636</v>
      </c>
      <c r="E3" s="221"/>
      <c r="F3" s="221"/>
      <c r="G3" s="221"/>
      <c r="H3" s="221"/>
      <c r="I3" s="221"/>
      <c r="J3" s="221"/>
      <c r="K3" s="439"/>
    </row>
    <row r="4" spans="1:11" ht="32.450000000000003" customHeight="1">
      <c r="A4" s="438"/>
      <c r="B4" s="403"/>
      <c r="C4" s="401"/>
      <c r="D4" s="220" t="s">
        <v>1410</v>
      </c>
      <c r="E4" s="221"/>
      <c r="F4" s="221"/>
      <c r="G4" s="221"/>
      <c r="H4" s="221"/>
      <c r="I4" s="221"/>
      <c r="J4" s="221"/>
      <c r="K4" s="439"/>
    </row>
    <row r="5" spans="1:11" ht="32.450000000000003" customHeight="1">
      <c r="A5" s="438"/>
      <c r="B5" s="402" t="s">
        <v>630</v>
      </c>
      <c r="C5" s="400" t="s">
        <v>669</v>
      </c>
      <c r="D5" s="220" t="s">
        <v>636</v>
      </c>
      <c r="E5" s="221"/>
      <c r="F5" s="221"/>
      <c r="G5" s="221"/>
      <c r="H5" s="221"/>
      <c r="I5" s="221"/>
      <c r="J5" s="221"/>
      <c r="K5" s="439"/>
    </row>
    <row r="6" spans="1:11" ht="32.450000000000003" customHeight="1">
      <c r="A6" s="438"/>
      <c r="B6" s="403"/>
      <c r="C6" s="401"/>
      <c r="D6" s="220" t="s">
        <v>1410</v>
      </c>
      <c r="E6" s="221"/>
      <c r="F6" s="221"/>
      <c r="G6" s="221"/>
      <c r="H6" s="221"/>
      <c r="I6" s="221"/>
      <c r="J6" s="221"/>
      <c r="K6" s="439"/>
    </row>
    <row r="7" spans="1:11" ht="32.450000000000003" customHeight="1">
      <c r="A7" s="438"/>
      <c r="B7" s="402" t="s">
        <v>631</v>
      </c>
      <c r="C7" s="400" t="s">
        <v>670</v>
      </c>
      <c r="D7" s="220" t="s">
        <v>636</v>
      </c>
      <c r="E7" s="221"/>
      <c r="F7" s="221"/>
      <c r="G7" s="221"/>
      <c r="H7" s="221"/>
      <c r="I7" s="221"/>
      <c r="J7" s="221"/>
      <c r="K7" s="439"/>
    </row>
    <row r="8" spans="1:11" ht="32.450000000000003" customHeight="1">
      <c r="A8" s="438"/>
      <c r="B8" s="403"/>
      <c r="C8" s="401"/>
      <c r="D8" s="220" t="s">
        <v>1410</v>
      </c>
      <c r="E8" s="221"/>
      <c r="F8" s="221"/>
      <c r="G8" s="221"/>
      <c r="H8" s="221"/>
      <c r="I8" s="221"/>
      <c r="J8" s="221"/>
      <c r="K8" s="439"/>
    </row>
    <row r="9" spans="1:11" ht="32.450000000000003" customHeight="1">
      <c r="A9" s="438"/>
      <c r="B9" s="402" t="s">
        <v>642</v>
      </c>
      <c r="C9" s="400" t="s">
        <v>671</v>
      </c>
      <c r="D9" s="220" t="s">
        <v>636</v>
      </c>
      <c r="E9" s="221"/>
      <c r="F9" s="221"/>
      <c r="G9" s="221"/>
      <c r="H9" s="221"/>
      <c r="I9" s="221"/>
      <c r="J9" s="221"/>
      <c r="K9" s="439"/>
    </row>
    <row r="10" spans="1:11" ht="32.450000000000003" customHeight="1">
      <c r="A10" s="438"/>
      <c r="B10" s="403"/>
      <c r="C10" s="401"/>
      <c r="D10" s="220" t="s">
        <v>1410</v>
      </c>
      <c r="E10" s="221"/>
      <c r="F10" s="221"/>
      <c r="G10" s="221"/>
      <c r="H10" s="221"/>
      <c r="I10" s="221"/>
      <c r="J10" s="221"/>
      <c r="K10" s="439"/>
    </row>
    <row r="11" spans="1:11" ht="32.450000000000003" customHeight="1">
      <c r="A11" s="438"/>
      <c r="B11" s="402" t="s">
        <v>643</v>
      </c>
      <c r="C11" s="400" t="s">
        <v>672</v>
      </c>
      <c r="D11" s="220" t="s">
        <v>636</v>
      </c>
      <c r="E11" s="221"/>
      <c r="F11" s="221"/>
      <c r="G11" s="221"/>
      <c r="H11" s="221"/>
      <c r="I11" s="221"/>
      <c r="J11" s="221"/>
      <c r="K11" s="439"/>
    </row>
    <row r="12" spans="1:11" ht="32.450000000000003" customHeight="1">
      <c r="A12" s="438"/>
      <c r="B12" s="403"/>
      <c r="C12" s="401"/>
      <c r="D12" s="220" t="s">
        <v>1410</v>
      </c>
      <c r="E12" s="221"/>
      <c r="F12" s="221"/>
      <c r="G12" s="221"/>
      <c r="H12" s="221"/>
      <c r="I12" s="221"/>
      <c r="J12" s="221"/>
      <c r="K12" s="439"/>
    </row>
    <row r="13" spans="1:11" ht="66" customHeight="1">
      <c r="A13" s="397"/>
      <c r="B13" s="398"/>
      <c r="C13" s="398"/>
      <c r="D13" s="398"/>
      <c r="E13" s="398"/>
      <c r="F13" s="398"/>
      <c r="G13" s="398"/>
      <c r="H13" s="398"/>
      <c r="I13" s="398"/>
      <c r="J13" s="398"/>
      <c r="K13" s="399"/>
    </row>
    <row r="14" spans="1:11" ht="45" customHeight="1"/>
    <row r="15" spans="1:11" ht="45" customHeight="1"/>
    <row r="16" spans="1:11"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row r="28" ht="45" customHeight="1"/>
    <row r="29" ht="45" customHeight="1"/>
    <row r="30" ht="45" customHeight="1"/>
    <row r="31" ht="45" customHeight="1"/>
    <row r="32" ht="45" customHeight="1"/>
  </sheetData>
  <mergeCells count="14">
    <mergeCell ref="A1:K1"/>
    <mergeCell ref="A2:A12"/>
    <mergeCell ref="K2:K12"/>
    <mergeCell ref="A13:K13"/>
    <mergeCell ref="C3:C4"/>
    <mergeCell ref="C5:C6"/>
    <mergeCell ref="C7:C8"/>
    <mergeCell ref="C9:C10"/>
    <mergeCell ref="C11:C12"/>
    <mergeCell ref="B3:B4"/>
    <mergeCell ref="B5:B6"/>
    <mergeCell ref="B7:B8"/>
    <mergeCell ref="B9:B10"/>
    <mergeCell ref="B11:B12"/>
  </mergeCells>
  <pageMargins left="0.7" right="0.7" top="0.75" bottom="0.75" header="0.3" footer="0.3"/>
  <pageSetup paperSize="9" orientation="portrait" r:id="rId1"/>
  <ignoredErrors>
    <ignoredError sqref="B3 B12 B10 B8 B6 B5 B7 B9 B11" numberStoredAsText="1"/>
  </ignoredErrors>
  <drawing r:id="rId2"/>
  <legacyDrawing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3"/>
  <sheetViews>
    <sheetView showGridLines="0" rightToLeft="1" workbookViewId="0">
      <pane xSplit="8" topLeftCell="I1" activePane="topRight" state="frozen"/>
      <selection pane="topRight" sqref="A1:H1"/>
    </sheetView>
  </sheetViews>
  <sheetFormatPr defaultColWidth="25" defaultRowHeight="54.95" customHeight="1"/>
  <cols>
    <col min="1" max="1" width="12.5" style="147" customWidth="1"/>
    <col min="2" max="3" width="10.1640625" style="147" customWidth="1"/>
    <col min="4" max="4" width="47.5" style="147" customWidth="1"/>
    <col min="5" max="6" width="24.1640625" style="147" customWidth="1"/>
    <col min="7" max="7" width="22.5" style="147" customWidth="1"/>
    <col min="8" max="8" width="12.5" style="147" customWidth="1"/>
    <col min="9" max="16384" width="25" style="147"/>
  </cols>
  <sheetData>
    <row r="1" spans="1:8" s="163" customFormat="1" ht="33" customHeight="1">
      <c r="A1" s="450" t="s">
        <v>734</v>
      </c>
      <c r="B1" s="450"/>
      <c r="C1" s="450"/>
      <c r="D1" s="450"/>
      <c r="E1" s="450"/>
      <c r="F1" s="450"/>
      <c r="G1" s="450"/>
      <c r="H1" s="450"/>
    </row>
    <row r="2" spans="1:8" s="163" customFormat="1" ht="33" customHeight="1">
      <c r="A2" s="450" t="s">
        <v>118</v>
      </c>
      <c r="B2" s="450"/>
      <c r="C2" s="450"/>
      <c r="D2" s="450"/>
      <c r="E2" s="450"/>
      <c r="F2" s="450"/>
      <c r="G2" s="450"/>
      <c r="H2" s="450"/>
    </row>
    <row r="3" spans="1:8" s="163" customFormat="1" ht="45" customHeight="1">
      <c r="A3" s="450" t="s">
        <v>874</v>
      </c>
      <c r="B3" s="450"/>
      <c r="C3" s="450"/>
      <c r="D3" s="450"/>
      <c r="E3" s="450"/>
      <c r="F3" s="450"/>
      <c r="G3" s="450"/>
      <c r="H3" s="450"/>
    </row>
    <row r="4" spans="1:8" s="163" customFormat="1" ht="33" customHeight="1">
      <c r="A4" s="450" t="s">
        <v>737</v>
      </c>
      <c r="B4" s="450"/>
      <c r="C4" s="450"/>
      <c r="D4" s="450"/>
      <c r="E4" s="450"/>
      <c r="F4" s="450"/>
      <c r="G4" s="450"/>
      <c r="H4" s="450"/>
    </row>
    <row r="5" spans="1:8" ht="24.95" customHeight="1">
      <c r="A5" s="404" t="s">
        <v>875</v>
      </c>
      <c r="B5" s="404"/>
      <c r="C5" s="404"/>
      <c r="D5" s="404"/>
      <c r="E5" s="404"/>
      <c r="F5" s="404"/>
      <c r="G5" s="404"/>
      <c r="H5" s="404"/>
    </row>
    <row r="6" spans="1:8" ht="38.1" customHeight="1">
      <c r="A6" s="404" t="s">
        <v>876</v>
      </c>
      <c r="B6" s="404"/>
      <c r="C6" s="404"/>
      <c r="D6" s="404"/>
      <c r="E6" s="404"/>
      <c r="F6" s="404"/>
      <c r="G6" s="404"/>
      <c r="H6" s="404"/>
    </row>
    <row r="7" spans="1:8" ht="24.95" customHeight="1">
      <c r="A7" s="404" t="s">
        <v>877</v>
      </c>
      <c r="B7" s="404"/>
      <c r="C7" s="404"/>
      <c r="D7" s="404"/>
      <c r="E7" s="404"/>
      <c r="F7" s="404"/>
      <c r="G7" s="404"/>
      <c r="H7" s="404"/>
    </row>
    <row r="8" spans="1:8" ht="24.95" customHeight="1">
      <c r="A8" s="404" t="s">
        <v>878</v>
      </c>
      <c r="B8" s="404"/>
      <c r="C8" s="404"/>
      <c r="D8" s="404"/>
      <c r="E8" s="404"/>
      <c r="F8" s="404"/>
      <c r="G8" s="404"/>
      <c r="H8" s="404"/>
    </row>
    <row r="9" spans="1:8" ht="24.95" customHeight="1">
      <c r="A9" s="404" t="s">
        <v>879</v>
      </c>
      <c r="B9" s="404"/>
      <c r="C9" s="404"/>
      <c r="D9" s="404"/>
      <c r="E9" s="404"/>
      <c r="F9" s="404"/>
      <c r="G9" s="404"/>
      <c r="H9" s="404"/>
    </row>
    <row r="10" spans="1:8" ht="24.95" customHeight="1">
      <c r="A10" s="404" t="s">
        <v>880</v>
      </c>
      <c r="B10" s="404"/>
      <c r="C10" s="404"/>
      <c r="D10" s="404"/>
      <c r="E10" s="404"/>
      <c r="F10" s="404"/>
      <c r="G10" s="404"/>
      <c r="H10" s="404"/>
    </row>
    <row r="11" spans="1:8" ht="24.95" customHeight="1">
      <c r="A11" s="404" t="s">
        <v>881</v>
      </c>
      <c r="B11" s="404"/>
      <c r="C11" s="404"/>
      <c r="D11" s="404"/>
      <c r="E11" s="404"/>
      <c r="F11" s="404"/>
      <c r="G11" s="404"/>
      <c r="H11" s="404"/>
    </row>
    <row r="12" spans="1:8" ht="24.95" customHeight="1">
      <c r="A12" s="404" t="s">
        <v>882</v>
      </c>
      <c r="B12" s="404"/>
      <c r="C12" s="404"/>
      <c r="D12" s="404"/>
      <c r="E12" s="404"/>
      <c r="F12" s="404"/>
      <c r="G12" s="404"/>
      <c r="H12" s="404"/>
    </row>
    <row r="13" spans="1:8" ht="38.1" customHeight="1">
      <c r="A13" s="404" t="s">
        <v>883</v>
      </c>
      <c r="B13" s="404"/>
      <c r="C13" s="404"/>
      <c r="D13" s="404"/>
      <c r="E13" s="404"/>
      <c r="F13" s="404"/>
      <c r="G13" s="404"/>
      <c r="H13" s="404"/>
    </row>
    <row r="14" spans="1:8" ht="24.95" customHeight="1">
      <c r="A14" s="404" t="s">
        <v>884</v>
      </c>
      <c r="B14" s="404"/>
      <c r="C14" s="404"/>
      <c r="D14" s="404"/>
      <c r="E14" s="404"/>
      <c r="F14" s="404"/>
      <c r="G14" s="404"/>
      <c r="H14" s="404"/>
    </row>
    <row r="15" spans="1:8" ht="24.95" customHeight="1">
      <c r="A15" s="404" t="s">
        <v>885</v>
      </c>
      <c r="B15" s="404"/>
      <c r="C15" s="404"/>
      <c r="D15" s="404"/>
      <c r="E15" s="404"/>
      <c r="F15" s="404"/>
      <c r="G15" s="404"/>
      <c r="H15" s="404"/>
    </row>
    <row r="16" spans="1:8" ht="24.95" customHeight="1">
      <c r="A16" s="404" t="s">
        <v>886</v>
      </c>
      <c r="B16" s="404"/>
      <c r="C16" s="404"/>
      <c r="D16" s="404"/>
      <c r="E16" s="404"/>
      <c r="F16" s="404"/>
      <c r="G16" s="404"/>
      <c r="H16" s="404"/>
    </row>
    <row r="17" spans="1:8" ht="24.95" customHeight="1">
      <c r="A17" s="404" t="s">
        <v>887</v>
      </c>
      <c r="B17" s="404"/>
      <c r="C17" s="404"/>
      <c r="D17" s="404"/>
      <c r="E17" s="404"/>
      <c r="F17" s="404"/>
      <c r="G17" s="404"/>
      <c r="H17" s="404"/>
    </row>
    <row r="18" spans="1:8" ht="24.95" customHeight="1">
      <c r="A18" s="404" t="s">
        <v>888</v>
      </c>
      <c r="B18" s="404"/>
      <c r="C18" s="404"/>
      <c r="D18" s="404"/>
      <c r="E18" s="404"/>
      <c r="F18" s="404"/>
      <c r="G18" s="404"/>
      <c r="H18" s="404"/>
    </row>
    <row r="19" spans="1:8" ht="24.95" customHeight="1">
      <c r="A19" s="404" t="s">
        <v>889</v>
      </c>
      <c r="B19" s="404"/>
      <c r="C19" s="404"/>
      <c r="D19" s="404"/>
      <c r="E19" s="404"/>
      <c r="F19" s="404"/>
      <c r="G19" s="404"/>
      <c r="H19" s="404"/>
    </row>
    <row r="20" spans="1:8" ht="24.95" customHeight="1">
      <c r="A20" s="404" t="s">
        <v>890</v>
      </c>
      <c r="B20" s="404"/>
      <c r="C20" s="404"/>
      <c r="D20" s="404"/>
      <c r="E20" s="404"/>
      <c r="F20" s="404"/>
      <c r="G20" s="404"/>
      <c r="H20" s="404"/>
    </row>
    <row r="21" spans="1:8" ht="24.95" customHeight="1">
      <c r="A21" s="404" t="s">
        <v>891</v>
      </c>
      <c r="B21" s="404"/>
      <c r="C21" s="404"/>
      <c r="D21" s="404"/>
      <c r="E21" s="404"/>
      <c r="F21" s="404"/>
      <c r="G21" s="404"/>
      <c r="H21" s="404"/>
    </row>
    <row r="22" spans="1:8" ht="24.95" customHeight="1">
      <c r="A22" s="404" t="s">
        <v>892</v>
      </c>
      <c r="B22" s="404"/>
      <c r="C22" s="404"/>
      <c r="D22" s="404"/>
      <c r="E22" s="404"/>
      <c r="F22" s="404"/>
      <c r="G22" s="404"/>
      <c r="H22" s="404"/>
    </row>
    <row r="23" spans="1:8" ht="24.95" customHeight="1">
      <c r="A23" s="404" t="s">
        <v>893</v>
      </c>
      <c r="B23" s="404"/>
      <c r="C23" s="404"/>
      <c r="D23" s="404"/>
      <c r="E23" s="404"/>
      <c r="F23" s="404"/>
      <c r="G23" s="404"/>
      <c r="H23" s="404"/>
    </row>
    <row r="24" spans="1:8" ht="24.95" customHeight="1">
      <c r="A24" s="404" t="s">
        <v>894</v>
      </c>
      <c r="B24" s="404"/>
      <c r="C24" s="404"/>
      <c r="D24" s="404"/>
      <c r="E24" s="404"/>
      <c r="F24" s="404"/>
      <c r="G24" s="404"/>
      <c r="H24" s="404"/>
    </row>
    <row r="25" spans="1:8" ht="24.95" customHeight="1">
      <c r="A25" s="404" t="s">
        <v>895</v>
      </c>
      <c r="B25" s="404"/>
      <c r="C25" s="404"/>
      <c r="D25" s="404"/>
      <c r="E25" s="404"/>
      <c r="F25" s="404"/>
      <c r="G25" s="404"/>
      <c r="H25" s="404"/>
    </row>
    <row r="26" spans="1:8" ht="24.95" customHeight="1">
      <c r="A26" s="404" t="s">
        <v>896</v>
      </c>
      <c r="B26" s="404"/>
      <c r="C26" s="404"/>
      <c r="D26" s="404"/>
      <c r="E26" s="404"/>
      <c r="F26" s="404"/>
      <c r="G26" s="404"/>
      <c r="H26" s="404"/>
    </row>
    <row r="27" spans="1:8" ht="24.95" customHeight="1">
      <c r="A27" s="404" t="s">
        <v>897</v>
      </c>
      <c r="B27" s="404"/>
      <c r="C27" s="404"/>
      <c r="D27" s="404"/>
      <c r="E27" s="404"/>
      <c r="F27" s="404"/>
      <c r="G27" s="404"/>
      <c r="H27" s="404"/>
    </row>
    <row r="28" spans="1:8" s="146" customFormat="1" ht="45" customHeight="1">
      <c r="A28" s="408"/>
      <c r="B28" s="222" t="s">
        <v>0</v>
      </c>
      <c r="C28" s="451" t="s">
        <v>626</v>
      </c>
      <c r="D28" s="451"/>
      <c r="E28" s="224" t="s">
        <v>788</v>
      </c>
      <c r="F28" s="224" t="s">
        <v>789</v>
      </c>
      <c r="G28" s="224" t="s">
        <v>790</v>
      </c>
      <c r="H28" s="409"/>
    </row>
    <row r="29" spans="1:8" s="146" customFormat="1" ht="39.950000000000003" customHeight="1">
      <c r="A29" s="408"/>
      <c r="B29" s="255" t="s">
        <v>898</v>
      </c>
      <c r="C29" s="444" t="s">
        <v>899</v>
      </c>
      <c r="D29" s="256" t="s">
        <v>668</v>
      </c>
      <c r="E29" s="227" t="s">
        <v>825</v>
      </c>
      <c r="F29" s="260">
        <v>0.06</v>
      </c>
      <c r="G29" s="229">
        <f>F29-(F29*6%)</f>
        <v>5.6399999999999999E-2</v>
      </c>
      <c r="H29" s="409"/>
    </row>
    <row r="30" spans="1:8" s="146" customFormat="1" ht="39.950000000000003" customHeight="1">
      <c r="A30" s="408"/>
      <c r="B30" s="255" t="s">
        <v>900</v>
      </c>
      <c r="C30" s="444"/>
      <c r="D30" s="256" t="s">
        <v>669</v>
      </c>
      <c r="E30" s="227" t="s">
        <v>825</v>
      </c>
      <c r="F30" s="260">
        <v>2.5</v>
      </c>
      <c r="G30" s="229">
        <f>F30-(F30*25%)</f>
        <v>1.875</v>
      </c>
      <c r="H30" s="409"/>
    </row>
    <row r="31" spans="1:8" s="146" customFormat="1" ht="39.950000000000003" customHeight="1">
      <c r="A31" s="408"/>
      <c r="B31" s="255" t="s">
        <v>901</v>
      </c>
      <c r="C31" s="444"/>
      <c r="D31" s="256" t="s">
        <v>670</v>
      </c>
      <c r="E31" s="227" t="s">
        <v>825</v>
      </c>
      <c r="F31" s="260">
        <v>4.5</v>
      </c>
      <c r="G31" s="229">
        <f>F31-(F31*25%)</f>
        <v>3.375</v>
      </c>
      <c r="H31" s="409"/>
    </row>
    <row r="32" spans="1:8" s="146" customFormat="1" ht="39.950000000000003" customHeight="1">
      <c r="A32" s="408"/>
      <c r="B32" s="255" t="s">
        <v>902</v>
      </c>
      <c r="C32" s="444"/>
      <c r="D32" s="256" t="s">
        <v>671</v>
      </c>
      <c r="E32" s="227" t="s">
        <v>825</v>
      </c>
      <c r="F32" s="260">
        <v>5</v>
      </c>
      <c r="G32" s="229">
        <f>F32-(F32*25%)</f>
        <v>3.75</v>
      </c>
      <c r="H32" s="409"/>
    </row>
    <row r="33" spans="1:8" s="146" customFormat="1" ht="39.950000000000003" customHeight="1">
      <c r="A33" s="408"/>
      <c r="B33" s="255" t="s">
        <v>903</v>
      </c>
      <c r="C33" s="444"/>
      <c r="D33" s="256" t="s">
        <v>672</v>
      </c>
      <c r="E33" s="227" t="s">
        <v>825</v>
      </c>
      <c r="F33" s="260">
        <v>2</v>
      </c>
      <c r="G33" s="229">
        <f>F33-(F33*25%)</f>
        <v>1.5</v>
      </c>
      <c r="H33" s="409"/>
    </row>
    <row r="34" spans="1:8" s="146" customFormat="1" ht="39.950000000000003" customHeight="1">
      <c r="A34" s="408"/>
      <c r="B34" s="255" t="s">
        <v>904</v>
      </c>
      <c r="C34" s="444" t="s">
        <v>905</v>
      </c>
      <c r="D34" s="256" t="s">
        <v>906</v>
      </c>
      <c r="E34" s="227" t="s">
        <v>825</v>
      </c>
      <c r="F34" s="242" t="s">
        <v>47</v>
      </c>
      <c r="G34" s="242" t="s">
        <v>47</v>
      </c>
      <c r="H34" s="409"/>
    </row>
    <row r="35" spans="1:8" s="146" customFormat="1" ht="39.950000000000003" customHeight="1">
      <c r="A35" s="408"/>
      <c r="B35" s="255" t="s">
        <v>907</v>
      </c>
      <c r="C35" s="444"/>
      <c r="D35" s="256" t="s">
        <v>908</v>
      </c>
      <c r="E35" s="227" t="s">
        <v>825</v>
      </c>
      <c r="F35" s="260" t="s">
        <v>47</v>
      </c>
      <c r="G35" s="260" t="s">
        <v>47</v>
      </c>
      <c r="H35" s="409"/>
    </row>
    <row r="36" spans="1:8" s="146" customFormat="1" ht="39.950000000000003" customHeight="1">
      <c r="A36" s="408"/>
      <c r="B36" s="255" t="s">
        <v>909</v>
      </c>
      <c r="C36" s="444"/>
      <c r="D36" s="256" t="s">
        <v>910</v>
      </c>
      <c r="E36" s="227" t="s">
        <v>825</v>
      </c>
      <c r="F36" s="260" t="s">
        <v>47</v>
      </c>
      <c r="G36" s="260" t="s">
        <v>47</v>
      </c>
      <c r="H36" s="409"/>
    </row>
    <row r="37" spans="1:8" s="146" customFormat="1" ht="39.950000000000003" customHeight="1">
      <c r="A37" s="408"/>
      <c r="B37" s="255" t="s">
        <v>911</v>
      </c>
      <c r="C37" s="444"/>
      <c r="D37" s="256" t="s">
        <v>912</v>
      </c>
      <c r="E37" s="227" t="s">
        <v>825</v>
      </c>
      <c r="F37" s="260" t="s">
        <v>47</v>
      </c>
      <c r="G37" s="260" t="s">
        <v>47</v>
      </c>
      <c r="H37" s="409"/>
    </row>
    <row r="38" spans="1:8" s="146" customFormat="1" ht="39.950000000000003" customHeight="1">
      <c r="A38" s="408"/>
      <c r="B38" s="255" t="s">
        <v>913</v>
      </c>
      <c r="C38" s="444"/>
      <c r="D38" s="256" t="s">
        <v>914</v>
      </c>
      <c r="E38" s="227" t="s">
        <v>825</v>
      </c>
      <c r="F38" s="260" t="s">
        <v>47</v>
      </c>
      <c r="G38" s="260" t="s">
        <v>47</v>
      </c>
      <c r="H38" s="409"/>
    </row>
    <row r="39" spans="1:8" s="146" customFormat="1" ht="39.950000000000003" customHeight="1">
      <c r="A39" s="408"/>
      <c r="B39" s="255" t="s">
        <v>915</v>
      </c>
      <c r="C39" s="444"/>
      <c r="D39" s="256" t="s">
        <v>916</v>
      </c>
      <c r="E39" s="227" t="s">
        <v>825</v>
      </c>
      <c r="F39" s="260" t="s">
        <v>47</v>
      </c>
      <c r="G39" s="260" t="s">
        <v>47</v>
      </c>
      <c r="H39" s="409"/>
    </row>
    <row r="40" spans="1:8" s="146" customFormat="1" ht="39.950000000000003" customHeight="1">
      <c r="A40" s="408"/>
      <c r="B40" s="255" t="s">
        <v>917</v>
      </c>
      <c r="C40" s="444"/>
      <c r="D40" s="256" t="s">
        <v>918</v>
      </c>
      <c r="E40" s="227" t="s">
        <v>825</v>
      </c>
      <c r="F40" s="260" t="s">
        <v>47</v>
      </c>
      <c r="G40" s="260" t="s">
        <v>47</v>
      </c>
      <c r="H40" s="409"/>
    </row>
    <row r="41" spans="1:8" s="146" customFormat="1" ht="39.950000000000003" customHeight="1">
      <c r="A41" s="408"/>
      <c r="B41" s="255" t="s">
        <v>919</v>
      </c>
      <c r="C41" s="444"/>
      <c r="D41" s="256" t="s">
        <v>920</v>
      </c>
      <c r="E41" s="227" t="s">
        <v>825</v>
      </c>
      <c r="F41" s="260" t="s">
        <v>47</v>
      </c>
      <c r="G41" s="260" t="s">
        <v>47</v>
      </c>
      <c r="H41" s="409"/>
    </row>
    <row r="42" spans="1:8" s="146" customFormat="1" ht="39.950000000000003" customHeight="1">
      <c r="A42" s="408"/>
      <c r="B42" s="255" t="s">
        <v>921</v>
      </c>
      <c r="C42" s="444"/>
      <c r="D42" s="256" t="s">
        <v>922</v>
      </c>
      <c r="E42" s="227" t="s">
        <v>825</v>
      </c>
      <c r="F42" s="260" t="s">
        <v>47</v>
      </c>
      <c r="G42" s="260" t="s">
        <v>47</v>
      </c>
      <c r="H42" s="409"/>
    </row>
    <row r="43" spans="1:8" s="146" customFormat="1" ht="39.950000000000003" customHeight="1">
      <c r="A43" s="408"/>
      <c r="B43" s="255" t="s">
        <v>923</v>
      </c>
      <c r="C43" s="444"/>
      <c r="D43" s="256" t="s">
        <v>924</v>
      </c>
      <c r="E43" s="227" t="s">
        <v>825</v>
      </c>
      <c r="F43" s="260" t="s">
        <v>47</v>
      </c>
      <c r="G43" s="260" t="s">
        <v>47</v>
      </c>
      <c r="H43" s="409"/>
    </row>
    <row r="44" spans="1:8" s="146" customFormat="1" ht="39.950000000000003" customHeight="1">
      <c r="A44" s="408"/>
      <c r="B44" s="255" t="s">
        <v>925</v>
      </c>
      <c r="C44" s="444"/>
      <c r="D44" s="256" t="s">
        <v>926</v>
      </c>
      <c r="E44" s="227" t="s">
        <v>825</v>
      </c>
      <c r="F44" s="260" t="s">
        <v>47</v>
      </c>
      <c r="G44" s="260" t="s">
        <v>47</v>
      </c>
      <c r="H44" s="409"/>
    </row>
    <row r="45" spans="1:8" s="146" customFormat="1" ht="39.950000000000003" customHeight="1">
      <c r="A45" s="408"/>
      <c r="B45" s="255" t="s">
        <v>927</v>
      </c>
      <c r="C45" s="444"/>
      <c r="D45" s="256" t="s">
        <v>928</v>
      </c>
      <c r="E45" s="227" t="s">
        <v>825</v>
      </c>
      <c r="F45" s="260" t="s">
        <v>47</v>
      </c>
      <c r="G45" s="260" t="s">
        <v>47</v>
      </c>
      <c r="H45" s="409"/>
    </row>
    <row r="46" spans="1:8" s="146" customFormat="1" ht="39.950000000000003" customHeight="1">
      <c r="A46" s="408"/>
      <c r="B46" s="255" t="s">
        <v>929</v>
      </c>
      <c r="C46" s="444"/>
      <c r="D46" s="256" t="s">
        <v>930</v>
      </c>
      <c r="E46" s="227" t="s">
        <v>825</v>
      </c>
      <c r="F46" s="260" t="s">
        <v>47</v>
      </c>
      <c r="G46" s="260" t="s">
        <v>47</v>
      </c>
      <c r="H46" s="409"/>
    </row>
    <row r="47" spans="1:8" s="146" customFormat="1" ht="39.950000000000003" customHeight="1">
      <c r="A47" s="408"/>
      <c r="B47" s="255" t="s">
        <v>931</v>
      </c>
      <c r="C47" s="444"/>
      <c r="D47" s="256" t="s">
        <v>932</v>
      </c>
      <c r="E47" s="227" t="s">
        <v>825</v>
      </c>
      <c r="F47" s="260" t="s">
        <v>47</v>
      </c>
      <c r="G47" s="260" t="s">
        <v>47</v>
      </c>
      <c r="H47" s="409"/>
    </row>
    <row r="48" spans="1:8" s="146" customFormat="1" ht="39.950000000000003" customHeight="1">
      <c r="A48" s="408"/>
      <c r="B48" s="255" t="s">
        <v>933</v>
      </c>
      <c r="C48" s="444"/>
      <c r="D48" s="256" t="s">
        <v>934</v>
      </c>
      <c r="E48" s="227" t="s">
        <v>825</v>
      </c>
      <c r="F48" s="260" t="s">
        <v>47</v>
      </c>
      <c r="G48" s="260" t="s">
        <v>47</v>
      </c>
      <c r="H48" s="409"/>
    </row>
    <row r="49" spans="1:8" s="146" customFormat="1" ht="39.950000000000003" customHeight="1">
      <c r="A49" s="408"/>
      <c r="B49" s="255" t="s">
        <v>935</v>
      </c>
      <c r="C49" s="444"/>
      <c r="D49" s="256" t="s">
        <v>936</v>
      </c>
      <c r="E49" s="227" t="s">
        <v>825</v>
      </c>
      <c r="F49" s="260" t="s">
        <v>47</v>
      </c>
      <c r="G49" s="260" t="s">
        <v>47</v>
      </c>
      <c r="H49" s="409"/>
    </row>
    <row r="50" spans="1:8" s="146" customFormat="1" ht="39.950000000000003" customHeight="1">
      <c r="A50" s="408"/>
      <c r="B50" s="255" t="s">
        <v>937</v>
      </c>
      <c r="C50" s="444"/>
      <c r="D50" s="256" t="s">
        <v>938</v>
      </c>
      <c r="E50" s="227" t="s">
        <v>825</v>
      </c>
      <c r="F50" s="260" t="s">
        <v>47</v>
      </c>
      <c r="G50" s="260" t="s">
        <v>47</v>
      </c>
      <c r="H50" s="409"/>
    </row>
    <row r="51" spans="1:8" s="146" customFormat="1" ht="39.950000000000003" customHeight="1">
      <c r="A51" s="408"/>
      <c r="B51" s="255" t="s">
        <v>939</v>
      </c>
      <c r="C51" s="444"/>
      <c r="D51" s="256" t="s">
        <v>940</v>
      </c>
      <c r="E51" s="227" t="s">
        <v>825</v>
      </c>
      <c r="F51" s="260" t="s">
        <v>47</v>
      </c>
      <c r="G51" s="260" t="s">
        <v>47</v>
      </c>
      <c r="H51" s="409"/>
    </row>
    <row r="52" spans="1:8" s="146" customFormat="1" ht="39.950000000000003" customHeight="1">
      <c r="A52" s="408"/>
      <c r="B52" s="255" t="s">
        <v>941</v>
      </c>
      <c r="C52" s="444"/>
      <c r="D52" s="256" t="s">
        <v>942</v>
      </c>
      <c r="E52" s="227" t="s">
        <v>825</v>
      </c>
      <c r="F52" s="260" t="s">
        <v>47</v>
      </c>
      <c r="G52" s="260" t="s">
        <v>47</v>
      </c>
      <c r="H52" s="409"/>
    </row>
    <row r="53" spans="1:8" s="146" customFormat="1" ht="39.950000000000003" customHeight="1">
      <c r="A53" s="408"/>
      <c r="B53" s="255" t="s">
        <v>943</v>
      </c>
      <c r="C53" s="444"/>
      <c r="D53" s="256" t="s">
        <v>944</v>
      </c>
      <c r="E53" s="227" t="s">
        <v>825</v>
      </c>
      <c r="F53" s="260" t="s">
        <v>47</v>
      </c>
      <c r="G53" s="260" t="s">
        <v>47</v>
      </c>
      <c r="H53" s="409"/>
    </row>
    <row r="54" spans="1:8" s="146" customFormat="1" ht="39.950000000000003" customHeight="1">
      <c r="A54" s="408"/>
      <c r="B54" s="255" t="s">
        <v>945</v>
      </c>
      <c r="C54" s="444"/>
      <c r="D54" s="256" t="s">
        <v>946</v>
      </c>
      <c r="E54" s="227" t="s">
        <v>825</v>
      </c>
      <c r="F54" s="260" t="s">
        <v>47</v>
      </c>
      <c r="G54" s="260" t="s">
        <v>47</v>
      </c>
      <c r="H54" s="409"/>
    </row>
    <row r="55" spans="1:8" s="146" customFormat="1" ht="39.950000000000003" customHeight="1">
      <c r="A55" s="408"/>
      <c r="B55" s="255" t="s">
        <v>947</v>
      </c>
      <c r="C55" s="444"/>
      <c r="D55" s="256" t="s">
        <v>948</v>
      </c>
      <c r="E55" s="227" t="s">
        <v>825</v>
      </c>
      <c r="F55" s="260" t="s">
        <v>47</v>
      </c>
      <c r="G55" s="260" t="s">
        <v>47</v>
      </c>
      <c r="H55" s="409"/>
    </row>
    <row r="56" spans="1:8" s="146" customFormat="1" ht="39.950000000000003" customHeight="1">
      <c r="A56" s="408"/>
      <c r="B56" s="255" t="s">
        <v>949</v>
      </c>
      <c r="C56" s="444"/>
      <c r="D56" s="256" t="s">
        <v>950</v>
      </c>
      <c r="E56" s="227" t="s">
        <v>825</v>
      </c>
      <c r="F56" s="260" t="s">
        <v>47</v>
      </c>
      <c r="G56" s="260" t="s">
        <v>47</v>
      </c>
      <c r="H56" s="409"/>
    </row>
    <row r="57" spans="1:8" s="146" customFormat="1" ht="39.950000000000003" customHeight="1">
      <c r="A57" s="408"/>
      <c r="B57" s="255" t="s">
        <v>951</v>
      </c>
      <c r="C57" s="444"/>
      <c r="D57" s="256" t="s">
        <v>952</v>
      </c>
      <c r="E57" s="227" t="s">
        <v>825</v>
      </c>
      <c r="F57" s="260" t="s">
        <v>47</v>
      </c>
      <c r="G57" s="260" t="s">
        <v>47</v>
      </c>
      <c r="H57" s="409"/>
    </row>
    <row r="58" spans="1:8" s="146" customFormat="1" ht="39.950000000000003" customHeight="1">
      <c r="A58" s="408"/>
      <c r="B58" s="255" t="s">
        <v>953</v>
      </c>
      <c r="C58" s="444"/>
      <c r="D58" s="256" t="s">
        <v>954</v>
      </c>
      <c r="E58" s="227" t="s">
        <v>825</v>
      </c>
      <c r="F58" s="260" t="s">
        <v>47</v>
      </c>
      <c r="G58" s="260" t="s">
        <v>47</v>
      </c>
      <c r="H58" s="409"/>
    </row>
    <row r="59" spans="1:8" s="146" customFormat="1" ht="39.950000000000003" customHeight="1">
      <c r="A59" s="408"/>
      <c r="B59" s="255" t="s">
        <v>955</v>
      </c>
      <c r="C59" s="444"/>
      <c r="D59" s="256" t="s">
        <v>956</v>
      </c>
      <c r="E59" s="227" t="s">
        <v>825</v>
      </c>
      <c r="F59" s="260" t="s">
        <v>47</v>
      </c>
      <c r="G59" s="260" t="s">
        <v>47</v>
      </c>
      <c r="H59" s="409"/>
    </row>
    <row r="60" spans="1:8" s="146" customFormat="1" ht="39.950000000000003" customHeight="1">
      <c r="A60" s="408"/>
      <c r="B60" s="255" t="s">
        <v>957</v>
      </c>
      <c r="C60" s="444"/>
      <c r="D60" s="256" t="s">
        <v>958</v>
      </c>
      <c r="E60" s="227" t="s">
        <v>825</v>
      </c>
      <c r="F60" s="260" t="s">
        <v>47</v>
      </c>
      <c r="G60" s="260" t="s">
        <v>47</v>
      </c>
      <c r="H60" s="409"/>
    </row>
    <row r="61" spans="1:8" s="146" customFormat="1" ht="39.950000000000003" customHeight="1">
      <c r="A61" s="408"/>
      <c r="B61" s="255" t="s">
        <v>959</v>
      </c>
      <c r="C61" s="444"/>
      <c r="D61" s="256" t="s">
        <v>960</v>
      </c>
      <c r="E61" s="227" t="s">
        <v>825</v>
      </c>
      <c r="F61" s="260" t="s">
        <v>47</v>
      </c>
      <c r="G61" s="260" t="s">
        <v>47</v>
      </c>
      <c r="H61" s="409"/>
    </row>
    <row r="62" spans="1:8" s="146" customFormat="1" ht="39.950000000000003" customHeight="1">
      <c r="A62" s="408"/>
      <c r="B62" s="255" t="s">
        <v>961</v>
      </c>
      <c r="C62" s="444"/>
      <c r="D62" s="256" t="s">
        <v>962</v>
      </c>
      <c r="E62" s="227" t="s">
        <v>825</v>
      </c>
      <c r="F62" s="260" t="s">
        <v>47</v>
      </c>
      <c r="G62" s="260" t="s">
        <v>47</v>
      </c>
      <c r="H62" s="409"/>
    </row>
    <row r="63" spans="1:8" s="146" customFormat="1" ht="39.950000000000003" customHeight="1">
      <c r="A63" s="408"/>
      <c r="B63" s="255" t="s">
        <v>963</v>
      </c>
      <c r="C63" s="444"/>
      <c r="D63" s="256" t="s">
        <v>964</v>
      </c>
      <c r="E63" s="227" t="s">
        <v>825</v>
      </c>
      <c r="F63" s="260" t="s">
        <v>47</v>
      </c>
      <c r="G63" s="260" t="s">
        <v>47</v>
      </c>
      <c r="H63" s="409"/>
    </row>
    <row r="64" spans="1:8" s="146" customFormat="1" ht="39.950000000000003" customHeight="1">
      <c r="A64" s="408"/>
      <c r="B64" s="255" t="s">
        <v>965</v>
      </c>
      <c r="C64" s="444"/>
      <c r="D64" s="256" t="s">
        <v>966</v>
      </c>
      <c r="E64" s="227" t="s">
        <v>825</v>
      </c>
      <c r="F64" s="260" t="s">
        <v>47</v>
      </c>
      <c r="G64" s="260" t="s">
        <v>47</v>
      </c>
      <c r="H64" s="409"/>
    </row>
    <row r="65" spans="1:8" s="146" customFormat="1" ht="39.950000000000003" customHeight="1">
      <c r="A65" s="408"/>
      <c r="B65" s="255" t="s">
        <v>967</v>
      </c>
      <c r="C65" s="444"/>
      <c r="D65" s="256" t="s">
        <v>968</v>
      </c>
      <c r="E65" s="227" t="s">
        <v>825</v>
      </c>
      <c r="F65" s="260" t="s">
        <v>47</v>
      </c>
      <c r="G65" s="260" t="s">
        <v>47</v>
      </c>
      <c r="H65" s="409"/>
    </row>
    <row r="66" spans="1:8" s="146" customFormat="1" ht="39.950000000000003" customHeight="1">
      <c r="A66" s="408"/>
      <c r="B66" s="255" t="s">
        <v>969</v>
      </c>
      <c r="C66" s="444"/>
      <c r="D66" s="256" t="s">
        <v>970</v>
      </c>
      <c r="E66" s="227" t="s">
        <v>825</v>
      </c>
      <c r="F66" s="260" t="s">
        <v>47</v>
      </c>
      <c r="G66" s="260" t="s">
        <v>47</v>
      </c>
      <c r="H66" s="409"/>
    </row>
    <row r="67" spans="1:8" s="146" customFormat="1" ht="39.950000000000003" customHeight="1">
      <c r="A67" s="408"/>
      <c r="B67" s="255" t="s">
        <v>971</v>
      </c>
      <c r="C67" s="444"/>
      <c r="D67" s="256" t="s">
        <v>972</v>
      </c>
      <c r="E67" s="227" t="s">
        <v>825</v>
      </c>
      <c r="F67" s="260" t="s">
        <v>47</v>
      </c>
      <c r="G67" s="260" t="s">
        <v>47</v>
      </c>
      <c r="H67" s="409"/>
    </row>
    <row r="68" spans="1:8" s="146" customFormat="1" ht="39.950000000000003" customHeight="1">
      <c r="A68" s="408"/>
      <c r="B68" s="255" t="s">
        <v>973</v>
      </c>
      <c r="C68" s="444"/>
      <c r="D68" s="256" t="s">
        <v>974</v>
      </c>
      <c r="E68" s="227" t="s">
        <v>825</v>
      </c>
      <c r="F68" s="260" t="s">
        <v>47</v>
      </c>
      <c r="G68" s="260" t="s">
        <v>47</v>
      </c>
      <c r="H68" s="409"/>
    </row>
    <row r="69" spans="1:8" s="146" customFormat="1" ht="39.950000000000003" customHeight="1">
      <c r="A69" s="408"/>
      <c r="B69" s="255" t="s">
        <v>975</v>
      </c>
      <c r="C69" s="444"/>
      <c r="D69" s="256" t="s">
        <v>976</v>
      </c>
      <c r="E69" s="227" t="s">
        <v>825</v>
      </c>
      <c r="F69" s="260" t="s">
        <v>47</v>
      </c>
      <c r="G69" s="260" t="s">
        <v>47</v>
      </c>
      <c r="H69" s="409"/>
    </row>
    <row r="70" spans="1:8" s="146" customFormat="1" ht="39.950000000000003" customHeight="1">
      <c r="A70" s="408"/>
      <c r="B70" s="255" t="s">
        <v>977</v>
      </c>
      <c r="C70" s="444"/>
      <c r="D70" s="256" t="s">
        <v>978</v>
      </c>
      <c r="E70" s="227" t="s">
        <v>825</v>
      </c>
      <c r="F70" s="260" t="s">
        <v>47</v>
      </c>
      <c r="G70" s="260" t="s">
        <v>47</v>
      </c>
      <c r="H70" s="409"/>
    </row>
    <row r="71" spans="1:8" s="146" customFormat="1" ht="39.950000000000003" customHeight="1">
      <c r="A71" s="408"/>
      <c r="B71" s="255" t="s">
        <v>979</v>
      </c>
      <c r="C71" s="452" t="s">
        <v>980</v>
      </c>
      <c r="D71" s="452"/>
      <c r="E71" s="227" t="s">
        <v>799</v>
      </c>
      <c r="F71" s="260" t="s">
        <v>47</v>
      </c>
      <c r="G71" s="260" t="s">
        <v>47</v>
      </c>
      <c r="H71" s="409"/>
    </row>
    <row r="72" spans="1:8" s="146" customFormat="1" ht="39.950000000000003" customHeight="1">
      <c r="A72" s="408"/>
      <c r="B72" s="255" t="s">
        <v>981</v>
      </c>
      <c r="C72" s="452" t="s">
        <v>982</v>
      </c>
      <c r="D72" s="452"/>
      <c r="E72" s="227" t="s">
        <v>983</v>
      </c>
      <c r="F72" s="260" t="s">
        <v>47</v>
      </c>
      <c r="G72" s="260" t="s">
        <v>47</v>
      </c>
      <c r="H72" s="409"/>
    </row>
    <row r="73" spans="1:8" ht="65.099999999999994" customHeight="1">
      <c r="A73" s="406"/>
      <c r="B73" s="406"/>
      <c r="C73" s="406"/>
      <c r="D73" s="406"/>
      <c r="E73" s="406"/>
      <c r="F73" s="406"/>
      <c r="G73" s="406"/>
      <c r="H73" s="407"/>
    </row>
  </sheetData>
  <mergeCells count="35">
    <mergeCell ref="A73:H73"/>
    <mergeCell ref="A25:H25"/>
    <mergeCell ref="A26:H26"/>
    <mergeCell ref="A27:H27"/>
    <mergeCell ref="A28:A72"/>
    <mergeCell ref="C28:D28"/>
    <mergeCell ref="H28:H72"/>
    <mergeCell ref="C29:C33"/>
    <mergeCell ref="C34:C70"/>
    <mergeCell ref="C71:D71"/>
    <mergeCell ref="C72:D72"/>
    <mergeCell ref="A24:H24"/>
    <mergeCell ref="A13:H13"/>
    <mergeCell ref="A14:H14"/>
    <mergeCell ref="A15:H15"/>
    <mergeCell ref="A16:H16"/>
    <mergeCell ref="A17:H17"/>
    <mergeCell ref="A18:H18"/>
    <mergeCell ref="A19:H19"/>
    <mergeCell ref="A20:H20"/>
    <mergeCell ref="A21:H21"/>
    <mergeCell ref="A22:H22"/>
    <mergeCell ref="A23:H23"/>
    <mergeCell ref="A12:H12"/>
    <mergeCell ref="A1:H1"/>
    <mergeCell ref="A2:H2"/>
    <mergeCell ref="A3:H3"/>
    <mergeCell ref="A4:H4"/>
    <mergeCell ref="A5:H5"/>
    <mergeCell ref="A6:H6"/>
    <mergeCell ref="A7:H7"/>
    <mergeCell ref="A8:H8"/>
    <mergeCell ref="A9:H9"/>
    <mergeCell ref="A10:H10"/>
    <mergeCell ref="A11:H11"/>
  </mergeCells>
  <printOptions headings="1"/>
  <pageMargins left="0.7" right="0.7" top="0.75" bottom="0.75" header="0.3" footer="0.3"/>
  <pageSetup paperSize="9" scale="94"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1"/>
  <sheetViews>
    <sheetView showGridLines="0" rightToLeft="1" workbookViewId="0">
      <pane xSplit="14" topLeftCell="O1" activePane="topRight" state="frozen"/>
      <selection activeCell="F12" sqref="F12"/>
      <selection pane="topRight" sqref="A1:N1"/>
    </sheetView>
  </sheetViews>
  <sheetFormatPr defaultColWidth="10.6640625" defaultRowHeight="35.1" customHeight="1"/>
  <cols>
    <col min="1" max="1" width="7.6640625" style="35" customWidth="1"/>
    <col min="2" max="2" width="27.5" style="35" customWidth="1"/>
    <col min="3" max="3" width="13.1640625" style="35" customWidth="1"/>
    <col min="4" max="4" width="13.1640625" style="52" customWidth="1"/>
    <col min="5" max="13" width="10.1640625" style="52" customWidth="1"/>
    <col min="14" max="14" width="10.6640625" style="53" customWidth="1"/>
    <col min="15" max="18" width="8.6640625" style="32" customWidth="1"/>
    <col min="19" max="19" width="8.6640625" style="33" customWidth="1"/>
    <col min="20" max="20" width="13.33203125" style="34" customWidth="1"/>
    <col min="21" max="21" width="10.6640625" style="33"/>
    <col min="22" max="16384" width="10.6640625" style="35"/>
  </cols>
  <sheetData>
    <row r="1" spans="1:21" ht="77.25" customHeight="1">
      <c r="A1" s="453" t="s">
        <v>112</v>
      </c>
      <c r="B1" s="454"/>
      <c r="C1" s="454"/>
      <c r="D1" s="454"/>
      <c r="E1" s="454"/>
      <c r="F1" s="454"/>
      <c r="G1" s="454"/>
      <c r="H1" s="454"/>
      <c r="I1" s="454"/>
      <c r="J1" s="454"/>
      <c r="K1" s="454"/>
      <c r="L1" s="454"/>
      <c r="M1" s="454"/>
      <c r="N1" s="454"/>
    </row>
    <row r="2" spans="1:21" s="38" customFormat="1" ht="25.5" customHeight="1">
      <c r="A2" s="374" t="s">
        <v>0</v>
      </c>
      <c r="B2" s="374" t="s">
        <v>11</v>
      </c>
      <c r="C2" s="374" t="s">
        <v>102</v>
      </c>
      <c r="D2" s="375" t="s">
        <v>103</v>
      </c>
      <c r="E2" s="375" t="s">
        <v>104</v>
      </c>
      <c r="F2" s="375"/>
      <c r="G2" s="375"/>
      <c r="H2" s="375"/>
      <c r="I2" s="375"/>
      <c r="J2" s="375" t="s">
        <v>105</v>
      </c>
      <c r="K2" s="375"/>
      <c r="L2" s="375"/>
      <c r="M2" s="375"/>
      <c r="N2" s="375"/>
      <c r="O2" s="32"/>
      <c r="P2" s="32"/>
      <c r="Q2" s="32"/>
      <c r="R2" s="32"/>
      <c r="S2" s="36"/>
      <c r="T2" s="37"/>
      <c r="U2" s="36"/>
    </row>
    <row r="3" spans="1:21" s="38" customFormat="1" ht="20.100000000000001" customHeight="1">
      <c r="A3" s="374"/>
      <c r="B3" s="374"/>
      <c r="C3" s="374"/>
      <c r="D3" s="375"/>
      <c r="E3" s="375" t="s">
        <v>106</v>
      </c>
      <c r="F3" s="375"/>
      <c r="G3" s="410">
        <v>1397</v>
      </c>
      <c r="H3" s="410">
        <v>1398</v>
      </c>
      <c r="I3" s="410">
        <v>1399</v>
      </c>
      <c r="J3" s="410">
        <v>1400</v>
      </c>
      <c r="K3" s="410">
        <v>1401</v>
      </c>
      <c r="L3" s="410">
        <v>1402</v>
      </c>
      <c r="M3" s="410">
        <v>1403</v>
      </c>
      <c r="N3" s="410">
        <v>1404</v>
      </c>
      <c r="O3" s="32"/>
      <c r="P3" s="32"/>
      <c r="Q3" s="32"/>
      <c r="R3" s="32"/>
      <c r="S3" s="36"/>
      <c r="T3" s="37"/>
      <c r="U3" s="36"/>
    </row>
    <row r="4" spans="1:21" s="76" customFormat="1" ht="20.25" customHeight="1">
      <c r="A4" s="374"/>
      <c r="B4" s="374"/>
      <c r="C4" s="374"/>
      <c r="D4" s="375"/>
      <c r="E4" s="251">
        <v>1395</v>
      </c>
      <c r="F4" s="251">
        <v>1396</v>
      </c>
      <c r="G4" s="410"/>
      <c r="H4" s="410"/>
      <c r="I4" s="410"/>
      <c r="J4" s="410"/>
      <c r="K4" s="410"/>
      <c r="L4" s="410"/>
      <c r="M4" s="410"/>
      <c r="N4" s="410"/>
      <c r="O4" s="72"/>
      <c r="P4" s="72"/>
      <c r="Q4" s="73"/>
      <c r="R4" s="72"/>
      <c r="S4" s="74"/>
      <c r="T4" s="75"/>
      <c r="U4" s="74"/>
    </row>
    <row r="5" spans="1:21" s="76" customFormat="1" ht="30" customHeight="1">
      <c r="A5" s="252">
        <v>1</v>
      </c>
      <c r="B5" s="205" t="s">
        <v>14</v>
      </c>
      <c r="C5" s="206">
        <f>($A$200+$B$200)*'[22]نرخ تسهیم'!Q3</f>
        <v>1032.9833089922804</v>
      </c>
      <c r="D5" s="207">
        <f>C5*1.05</f>
        <v>1084.6324744418944</v>
      </c>
      <c r="E5" s="207">
        <f t="shared" ref="E5:N5" si="0">D5*1.05</f>
        <v>1138.8640981639892</v>
      </c>
      <c r="F5" s="207">
        <f t="shared" si="0"/>
        <v>1195.8073030721887</v>
      </c>
      <c r="G5" s="207">
        <f t="shared" si="0"/>
        <v>1255.5976682257981</v>
      </c>
      <c r="H5" s="207">
        <f t="shared" si="0"/>
        <v>1318.3775516370881</v>
      </c>
      <c r="I5" s="207">
        <f t="shared" si="0"/>
        <v>1384.2964292189426</v>
      </c>
      <c r="J5" s="207">
        <f t="shared" si="0"/>
        <v>1453.5112506798898</v>
      </c>
      <c r="K5" s="207">
        <f t="shared" si="0"/>
        <v>1526.1868132138843</v>
      </c>
      <c r="L5" s="207">
        <f t="shared" si="0"/>
        <v>1602.4961538745786</v>
      </c>
      <c r="M5" s="207">
        <f t="shared" si="0"/>
        <v>1682.6209615683076</v>
      </c>
      <c r="N5" s="207">
        <f t="shared" si="0"/>
        <v>1766.7520096467231</v>
      </c>
      <c r="O5" s="72"/>
      <c r="P5" s="72"/>
      <c r="Q5" s="73"/>
      <c r="R5" s="73"/>
      <c r="S5" s="73"/>
      <c r="T5" s="75"/>
      <c r="U5" s="74"/>
    </row>
    <row r="6" spans="1:21" s="76" customFormat="1" ht="30" customHeight="1">
      <c r="A6" s="252">
        <v>2</v>
      </c>
      <c r="B6" s="205" t="s">
        <v>15</v>
      </c>
      <c r="C6" s="206">
        <f>($A$200+$B$200)*'[22]نرخ تسهیم'!Q4</f>
        <v>801.34462758189022</v>
      </c>
      <c r="D6" s="207">
        <f t="shared" ref="D6:N21" si="1">C6*1.05</f>
        <v>841.41185896098477</v>
      </c>
      <c r="E6" s="207">
        <f t="shared" si="1"/>
        <v>883.48245190903401</v>
      </c>
      <c r="F6" s="207">
        <f t="shared" si="1"/>
        <v>927.65657450448577</v>
      </c>
      <c r="G6" s="207">
        <f t="shared" si="1"/>
        <v>974.03940322971016</v>
      </c>
      <c r="H6" s="207">
        <f t="shared" si="1"/>
        <v>1022.7413733911957</v>
      </c>
      <c r="I6" s="207">
        <f t="shared" si="1"/>
        <v>1073.8784420607556</v>
      </c>
      <c r="J6" s="207">
        <f t="shared" si="1"/>
        <v>1127.5723641637933</v>
      </c>
      <c r="K6" s="207">
        <f t="shared" si="1"/>
        <v>1183.9509823719829</v>
      </c>
      <c r="L6" s="207">
        <f t="shared" si="1"/>
        <v>1243.1485314905822</v>
      </c>
      <c r="M6" s="207">
        <f t="shared" si="1"/>
        <v>1305.3059580651113</v>
      </c>
      <c r="N6" s="207">
        <f t="shared" si="1"/>
        <v>1370.571255968367</v>
      </c>
      <c r="O6" s="72"/>
      <c r="P6" s="72"/>
      <c r="Q6" s="73"/>
      <c r="R6" s="73"/>
      <c r="S6" s="73"/>
      <c r="T6" s="75"/>
      <c r="U6" s="74"/>
    </row>
    <row r="7" spans="1:21" s="76" customFormat="1" ht="30" customHeight="1">
      <c r="A7" s="252">
        <v>3</v>
      </c>
      <c r="B7" s="205" t="s">
        <v>16</v>
      </c>
      <c r="C7" s="206">
        <f>($A$200+$B$200)*'[22]نرخ تسهیم'!Q5</f>
        <v>402.75914875860633</v>
      </c>
      <c r="D7" s="207">
        <f t="shared" si="1"/>
        <v>422.89710619653664</v>
      </c>
      <c r="E7" s="207">
        <f t="shared" si="1"/>
        <v>444.04196150636346</v>
      </c>
      <c r="F7" s="207">
        <f t="shared" si="1"/>
        <v>466.24405958168165</v>
      </c>
      <c r="G7" s="207">
        <f t="shared" si="1"/>
        <v>489.55626256076573</v>
      </c>
      <c r="H7" s="207">
        <f t="shared" si="1"/>
        <v>514.03407568880402</v>
      </c>
      <c r="I7" s="207">
        <f t="shared" si="1"/>
        <v>539.73577947324429</v>
      </c>
      <c r="J7" s="207">
        <f t="shared" si="1"/>
        <v>566.72256844690651</v>
      </c>
      <c r="K7" s="207">
        <f t="shared" si="1"/>
        <v>595.05869686925189</v>
      </c>
      <c r="L7" s="207">
        <f t="shared" si="1"/>
        <v>624.81163171271453</v>
      </c>
      <c r="M7" s="207">
        <f t="shared" si="1"/>
        <v>656.05221329835024</v>
      </c>
      <c r="N7" s="207">
        <f t="shared" si="1"/>
        <v>688.85482396326779</v>
      </c>
      <c r="O7" s="72"/>
      <c r="P7" s="72"/>
      <c r="Q7" s="73"/>
      <c r="R7" s="73"/>
      <c r="S7" s="73"/>
      <c r="T7" s="75"/>
      <c r="U7" s="74"/>
    </row>
    <row r="8" spans="1:21" s="76" customFormat="1" ht="30" customHeight="1">
      <c r="A8" s="252">
        <v>4</v>
      </c>
      <c r="B8" s="205" t="s">
        <v>17</v>
      </c>
      <c r="C8" s="206">
        <f>($A$200+$B$200)*'[22]نرخ تسهیم'!Q6</f>
        <v>1016.2886292509911</v>
      </c>
      <c r="D8" s="207">
        <f t="shared" si="1"/>
        <v>1067.1030607135408</v>
      </c>
      <c r="E8" s="207">
        <f t="shared" si="1"/>
        <v>1120.458213749218</v>
      </c>
      <c r="F8" s="207">
        <f t="shared" si="1"/>
        <v>1176.481124436679</v>
      </c>
      <c r="G8" s="207">
        <f t="shared" si="1"/>
        <v>1235.3051806585131</v>
      </c>
      <c r="H8" s="207">
        <f t="shared" si="1"/>
        <v>1297.0704396914389</v>
      </c>
      <c r="I8" s="207">
        <f t="shared" si="1"/>
        <v>1361.9239616760108</v>
      </c>
      <c r="J8" s="207">
        <f t="shared" si="1"/>
        <v>1430.0201597598113</v>
      </c>
      <c r="K8" s="207">
        <f t="shared" si="1"/>
        <v>1501.5211677478019</v>
      </c>
      <c r="L8" s="207">
        <f t="shared" si="1"/>
        <v>1576.5972261351919</v>
      </c>
      <c r="M8" s="207">
        <f t="shared" si="1"/>
        <v>1655.4270874419517</v>
      </c>
      <c r="N8" s="207">
        <f t="shared" si="1"/>
        <v>1738.1984418140494</v>
      </c>
      <c r="O8" s="72"/>
      <c r="P8" s="72"/>
      <c r="Q8" s="73"/>
      <c r="R8" s="73"/>
      <c r="S8" s="73"/>
      <c r="T8" s="75"/>
      <c r="U8" s="74"/>
    </row>
    <row r="9" spans="1:21" s="76" customFormat="1" ht="30" customHeight="1">
      <c r="A9" s="252">
        <v>5</v>
      </c>
      <c r="B9" s="205" t="s">
        <v>18</v>
      </c>
      <c r="C9" s="206">
        <f>($A$200+$B$200)*'[22]نرخ تسهیم'!Q7</f>
        <v>475.79837262674738</v>
      </c>
      <c r="D9" s="207">
        <f t="shared" si="1"/>
        <v>499.58829125808478</v>
      </c>
      <c r="E9" s="207">
        <f t="shared" si="1"/>
        <v>524.56770582098909</v>
      </c>
      <c r="F9" s="207">
        <f t="shared" si="1"/>
        <v>550.79609111203854</v>
      </c>
      <c r="G9" s="207">
        <f t="shared" si="1"/>
        <v>578.33589566764044</v>
      </c>
      <c r="H9" s="207">
        <f t="shared" si="1"/>
        <v>607.25269045102254</v>
      </c>
      <c r="I9" s="207">
        <f t="shared" si="1"/>
        <v>637.61532497357371</v>
      </c>
      <c r="J9" s="207">
        <f t="shared" si="1"/>
        <v>669.4960912222524</v>
      </c>
      <c r="K9" s="207">
        <f t="shared" si="1"/>
        <v>702.97089578336511</v>
      </c>
      <c r="L9" s="207">
        <f t="shared" si="1"/>
        <v>738.11944057253345</v>
      </c>
      <c r="M9" s="207">
        <f t="shared" si="1"/>
        <v>775.02541260116016</v>
      </c>
      <c r="N9" s="207">
        <f t="shared" si="1"/>
        <v>813.77668323121816</v>
      </c>
      <c r="O9" s="72"/>
      <c r="P9" s="72"/>
      <c r="Q9" s="73"/>
      <c r="R9" s="73"/>
      <c r="S9" s="73"/>
      <c r="T9" s="75"/>
      <c r="U9" s="74"/>
    </row>
    <row r="10" spans="1:21" s="76" customFormat="1" ht="30" customHeight="1">
      <c r="A10" s="252">
        <v>6</v>
      </c>
      <c r="B10" s="205" t="s">
        <v>19</v>
      </c>
      <c r="C10" s="206">
        <f>($A$200+$B$200)*'[22]نرخ تسهیم'!Q8</f>
        <v>175.29413728353853</v>
      </c>
      <c r="D10" s="207">
        <f t="shared" si="1"/>
        <v>184.05884414771546</v>
      </c>
      <c r="E10" s="207">
        <f t="shared" si="1"/>
        <v>193.26178635510124</v>
      </c>
      <c r="F10" s="207">
        <f t="shared" si="1"/>
        <v>202.9248756728563</v>
      </c>
      <c r="G10" s="207">
        <f t="shared" si="1"/>
        <v>213.07111945649913</v>
      </c>
      <c r="H10" s="207">
        <f t="shared" si="1"/>
        <v>223.72467542932409</v>
      </c>
      <c r="I10" s="207">
        <f t="shared" si="1"/>
        <v>234.91090920079031</v>
      </c>
      <c r="J10" s="207">
        <f t="shared" si="1"/>
        <v>246.65645466082984</v>
      </c>
      <c r="K10" s="207">
        <f t="shared" si="1"/>
        <v>258.98927739387136</v>
      </c>
      <c r="L10" s="207">
        <f t="shared" si="1"/>
        <v>271.93874126356496</v>
      </c>
      <c r="M10" s="207">
        <f t="shared" si="1"/>
        <v>285.53567832674321</v>
      </c>
      <c r="N10" s="207">
        <f t="shared" si="1"/>
        <v>299.8124622430804</v>
      </c>
      <c r="O10" s="72"/>
      <c r="P10" s="72"/>
      <c r="Q10" s="73"/>
      <c r="R10" s="73"/>
      <c r="S10" s="73"/>
      <c r="T10" s="75"/>
      <c r="U10" s="74"/>
    </row>
    <row r="11" spans="1:21" s="76" customFormat="1" ht="30" customHeight="1">
      <c r="A11" s="252">
        <v>7</v>
      </c>
      <c r="B11" s="205" t="s">
        <v>20</v>
      </c>
      <c r="C11" s="206">
        <f>($A$200+$B$200)*'[22]نرخ تسهیم'!Q9</f>
        <v>118.94959315668684</v>
      </c>
      <c r="D11" s="207">
        <f t="shared" si="1"/>
        <v>124.8970728145212</v>
      </c>
      <c r="E11" s="207">
        <f t="shared" si="1"/>
        <v>131.14192645524727</v>
      </c>
      <c r="F11" s="207">
        <f t="shared" si="1"/>
        <v>137.69902277800963</v>
      </c>
      <c r="G11" s="207">
        <f t="shared" si="1"/>
        <v>144.58397391691011</v>
      </c>
      <c r="H11" s="207">
        <f t="shared" si="1"/>
        <v>151.81317261275564</v>
      </c>
      <c r="I11" s="207">
        <f t="shared" si="1"/>
        <v>159.40383124339343</v>
      </c>
      <c r="J11" s="207">
        <f t="shared" si="1"/>
        <v>167.3740228055631</v>
      </c>
      <c r="K11" s="207">
        <f t="shared" si="1"/>
        <v>175.74272394584128</v>
      </c>
      <c r="L11" s="207">
        <f t="shared" si="1"/>
        <v>184.52986014313336</v>
      </c>
      <c r="M11" s="207">
        <f t="shared" si="1"/>
        <v>193.75635315029004</v>
      </c>
      <c r="N11" s="207">
        <f t="shared" si="1"/>
        <v>203.44417080780454</v>
      </c>
      <c r="O11" s="72"/>
      <c r="P11" s="72"/>
      <c r="Q11" s="73"/>
      <c r="R11" s="73"/>
      <c r="S11" s="73"/>
      <c r="T11" s="75"/>
      <c r="U11" s="74"/>
    </row>
    <row r="12" spans="1:21" s="76" customFormat="1" ht="30" customHeight="1">
      <c r="A12" s="252">
        <v>8</v>
      </c>
      <c r="B12" s="205" t="s">
        <v>21</v>
      </c>
      <c r="C12" s="206">
        <f>($A$200+$B$200)*'[22]نرخ تسهیم'!Q10</f>
        <v>2057.6192781139162</v>
      </c>
      <c r="D12" s="207">
        <f t="shared" si="1"/>
        <v>2160.500242019612</v>
      </c>
      <c r="E12" s="207">
        <f t="shared" si="1"/>
        <v>2268.5252541205928</v>
      </c>
      <c r="F12" s="207">
        <f t="shared" si="1"/>
        <v>2381.9515168266225</v>
      </c>
      <c r="G12" s="207">
        <f t="shared" si="1"/>
        <v>2501.0490926679536</v>
      </c>
      <c r="H12" s="207">
        <f t="shared" si="1"/>
        <v>2626.1015473013513</v>
      </c>
      <c r="I12" s="207">
        <f t="shared" si="1"/>
        <v>2757.4066246664188</v>
      </c>
      <c r="J12" s="207">
        <f t="shared" si="1"/>
        <v>2895.2769558997397</v>
      </c>
      <c r="K12" s="207">
        <f t="shared" si="1"/>
        <v>3040.0408036947269</v>
      </c>
      <c r="L12" s="207">
        <f t="shared" si="1"/>
        <v>3192.0428438794634</v>
      </c>
      <c r="M12" s="207">
        <f t="shared" si="1"/>
        <v>3351.6449860734365</v>
      </c>
      <c r="N12" s="207">
        <f t="shared" si="1"/>
        <v>3519.2272353771086</v>
      </c>
      <c r="O12" s="72"/>
      <c r="P12" s="72"/>
      <c r="Q12" s="73"/>
      <c r="R12" s="73"/>
      <c r="S12" s="73"/>
      <c r="T12" s="75"/>
      <c r="U12" s="74"/>
    </row>
    <row r="13" spans="1:21" s="76" customFormat="1" ht="30" customHeight="1">
      <c r="A13" s="252">
        <v>9</v>
      </c>
      <c r="B13" s="205" t="s">
        <v>22</v>
      </c>
      <c r="C13" s="206">
        <f>($A$200+$B$200)*'[22]نرخ تسهیم'!Q11</f>
        <v>156.51262257458797</v>
      </c>
      <c r="D13" s="207">
        <f t="shared" si="1"/>
        <v>164.33825370331738</v>
      </c>
      <c r="E13" s="207">
        <f t="shared" si="1"/>
        <v>172.55516638848326</v>
      </c>
      <c r="F13" s="207">
        <f t="shared" si="1"/>
        <v>181.18292470790743</v>
      </c>
      <c r="G13" s="207">
        <f t="shared" si="1"/>
        <v>190.24207094330282</v>
      </c>
      <c r="H13" s="207">
        <f t="shared" si="1"/>
        <v>199.75417449046796</v>
      </c>
      <c r="I13" s="207">
        <f t="shared" si="1"/>
        <v>209.74188321499136</v>
      </c>
      <c r="J13" s="207">
        <f t="shared" si="1"/>
        <v>220.22897737574093</v>
      </c>
      <c r="K13" s="207">
        <f t="shared" si="1"/>
        <v>231.24042624452798</v>
      </c>
      <c r="L13" s="207">
        <f t="shared" si="1"/>
        <v>242.8024475567544</v>
      </c>
      <c r="M13" s="207">
        <f t="shared" si="1"/>
        <v>254.94256993459214</v>
      </c>
      <c r="N13" s="207">
        <f t="shared" si="1"/>
        <v>267.68969843132174</v>
      </c>
      <c r="O13" s="72"/>
      <c r="P13" s="72"/>
      <c r="Q13" s="73"/>
      <c r="R13" s="73"/>
      <c r="S13" s="73"/>
      <c r="T13" s="75"/>
      <c r="U13" s="74"/>
    </row>
    <row r="14" spans="1:21" s="76" customFormat="1" ht="30" customHeight="1">
      <c r="A14" s="252">
        <v>10</v>
      </c>
      <c r="B14" s="205" t="s">
        <v>23</v>
      </c>
      <c r="C14" s="206">
        <f>($A$200+$B$200)*'[22]نرخ تسهیم'!Q12</f>
        <v>486.23254746505319</v>
      </c>
      <c r="D14" s="207">
        <f t="shared" si="1"/>
        <v>510.54417483830588</v>
      </c>
      <c r="E14" s="207">
        <f t="shared" si="1"/>
        <v>536.07138358022121</v>
      </c>
      <c r="F14" s="207">
        <f t="shared" si="1"/>
        <v>562.87495275923231</v>
      </c>
      <c r="G14" s="207">
        <f t="shared" si="1"/>
        <v>591.01870039719392</v>
      </c>
      <c r="H14" s="207">
        <f t="shared" si="1"/>
        <v>620.56963541705363</v>
      </c>
      <c r="I14" s="207">
        <f t="shared" si="1"/>
        <v>651.59811718790638</v>
      </c>
      <c r="J14" s="207">
        <f t="shared" si="1"/>
        <v>684.17802304730174</v>
      </c>
      <c r="K14" s="207">
        <f t="shared" si="1"/>
        <v>718.38692419966685</v>
      </c>
      <c r="L14" s="207">
        <f t="shared" si="1"/>
        <v>754.30627040965021</v>
      </c>
      <c r="M14" s="207">
        <f t="shared" si="1"/>
        <v>792.02158393013281</v>
      </c>
      <c r="N14" s="207">
        <f t="shared" si="1"/>
        <v>831.62266312663951</v>
      </c>
      <c r="O14" s="72"/>
      <c r="P14" s="72"/>
      <c r="Q14" s="73"/>
      <c r="R14" s="73"/>
      <c r="S14" s="73"/>
      <c r="T14" s="75"/>
      <c r="U14" s="74"/>
    </row>
    <row r="15" spans="1:21" s="76" customFormat="1" ht="30" customHeight="1">
      <c r="A15" s="252">
        <v>11</v>
      </c>
      <c r="B15" s="205" t="s">
        <v>24</v>
      </c>
      <c r="C15" s="206">
        <f>($A$200+$B$200)*'[22]نرخ تسهیم'!Q13</f>
        <v>198.24932192781142</v>
      </c>
      <c r="D15" s="207">
        <f t="shared" si="1"/>
        <v>208.161788024202</v>
      </c>
      <c r="E15" s="207">
        <f t="shared" si="1"/>
        <v>218.5698774254121</v>
      </c>
      <c r="F15" s="207">
        <f t="shared" si="1"/>
        <v>229.49837129668271</v>
      </c>
      <c r="G15" s="207">
        <f t="shared" si="1"/>
        <v>240.97328986151686</v>
      </c>
      <c r="H15" s="207">
        <f t="shared" si="1"/>
        <v>253.02195435459271</v>
      </c>
      <c r="I15" s="207">
        <f t="shared" si="1"/>
        <v>265.67305207232238</v>
      </c>
      <c r="J15" s="207">
        <f t="shared" si="1"/>
        <v>278.95670467593851</v>
      </c>
      <c r="K15" s="207">
        <f t="shared" si="1"/>
        <v>292.90453990973543</v>
      </c>
      <c r="L15" s="207">
        <f t="shared" si="1"/>
        <v>307.54976690522221</v>
      </c>
      <c r="M15" s="207">
        <f t="shared" si="1"/>
        <v>322.92725525048331</v>
      </c>
      <c r="N15" s="207">
        <f t="shared" si="1"/>
        <v>339.07361801300749</v>
      </c>
      <c r="O15" s="72"/>
      <c r="P15" s="72"/>
      <c r="Q15" s="73"/>
      <c r="R15" s="73"/>
      <c r="S15" s="73"/>
      <c r="T15" s="75"/>
      <c r="U15" s="74"/>
    </row>
    <row r="16" spans="1:21" s="76" customFormat="1" ht="30" customHeight="1">
      <c r="A16" s="252">
        <v>12</v>
      </c>
      <c r="B16" s="205" t="s">
        <v>25</v>
      </c>
      <c r="C16" s="206">
        <f>($A$200+$B$200)*'[22]نرخ تسهیم'!Q14</f>
        <v>1241.6668057583979</v>
      </c>
      <c r="D16" s="207">
        <f t="shared" si="1"/>
        <v>1303.7501460463179</v>
      </c>
      <c r="E16" s="207">
        <f t="shared" si="1"/>
        <v>1368.9376533486338</v>
      </c>
      <c r="F16" s="207">
        <f t="shared" si="1"/>
        <v>1437.3845360160656</v>
      </c>
      <c r="G16" s="207">
        <f t="shared" si="1"/>
        <v>1509.2537628168689</v>
      </c>
      <c r="H16" s="207">
        <f t="shared" si="1"/>
        <v>1584.7164509577124</v>
      </c>
      <c r="I16" s="207">
        <f t="shared" si="1"/>
        <v>1663.952273505598</v>
      </c>
      <c r="J16" s="207">
        <f t="shared" si="1"/>
        <v>1747.1498871808781</v>
      </c>
      <c r="K16" s="207">
        <f t="shared" si="1"/>
        <v>1834.5073815399221</v>
      </c>
      <c r="L16" s="207">
        <f t="shared" si="1"/>
        <v>1926.2327506169183</v>
      </c>
      <c r="M16" s="207">
        <f t="shared" si="1"/>
        <v>2022.5443881477643</v>
      </c>
      <c r="N16" s="207">
        <f t="shared" si="1"/>
        <v>2123.6716075551526</v>
      </c>
      <c r="O16" s="72"/>
      <c r="P16" s="72"/>
      <c r="Q16" s="73"/>
      <c r="R16" s="73"/>
      <c r="S16" s="73"/>
      <c r="T16" s="75"/>
      <c r="U16" s="74"/>
    </row>
    <row r="17" spans="1:21" s="76" customFormat="1" ht="30" customHeight="1">
      <c r="A17" s="252">
        <v>13</v>
      </c>
      <c r="B17" s="205" t="s">
        <v>26</v>
      </c>
      <c r="C17" s="206">
        <f>($A$200+$B$200)*'[22]نرخ تسهیم'!Q15</f>
        <v>242.07285624869604</v>
      </c>
      <c r="D17" s="207">
        <f t="shared" si="1"/>
        <v>254.17649906113084</v>
      </c>
      <c r="E17" s="207">
        <f t="shared" si="1"/>
        <v>266.8853240141874</v>
      </c>
      <c r="F17" s="207">
        <f t="shared" si="1"/>
        <v>280.2295902148968</v>
      </c>
      <c r="G17" s="207">
        <f t="shared" si="1"/>
        <v>294.24106972564164</v>
      </c>
      <c r="H17" s="207">
        <f t="shared" si="1"/>
        <v>308.95312321192375</v>
      </c>
      <c r="I17" s="207">
        <f t="shared" si="1"/>
        <v>324.40077937251993</v>
      </c>
      <c r="J17" s="207">
        <f t="shared" si="1"/>
        <v>340.62081834114593</v>
      </c>
      <c r="K17" s="207">
        <f t="shared" si="1"/>
        <v>357.65185925820327</v>
      </c>
      <c r="L17" s="207">
        <f t="shared" si="1"/>
        <v>375.53445222111344</v>
      </c>
      <c r="M17" s="207">
        <f t="shared" si="1"/>
        <v>394.31117483216912</v>
      </c>
      <c r="N17" s="207">
        <f t="shared" si="1"/>
        <v>414.02673357377756</v>
      </c>
      <c r="O17" s="72"/>
      <c r="P17" s="72"/>
      <c r="Q17" s="73"/>
      <c r="R17" s="73"/>
      <c r="S17" s="73"/>
      <c r="T17" s="75"/>
      <c r="U17" s="74"/>
    </row>
    <row r="18" spans="1:21" s="76" customFormat="1" ht="30" customHeight="1">
      <c r="A18" s="252">
        <v>14</v>
      </c>
      <c r="B18" s="205" t="s">
        <v>27</v>
      </c>
      <c r="C18" s="206">
        <f>($A$200+$B$200)*'[22]نرخ تسهیم'!Q16</f>
        <v>1068.4595034425204</v>
      </c>
      <c r="D18" s="207">
        <f t="shared" si="1"/>
        <v>1121.8824786146465</v>
      </c>
      <c r="E18" s="207">
        <f t="shared" si="1"/>
        <v>1177.9766025453789</v>
      </c>
      <c r="F18" s="207">
        <f t="shared" si="1"/>
        <v>1236.875432672648</v>
      </c>
      <c r="G18" s="207">
        <f t="shared" si="1"/>
        <v>1298.7192043062805</v>
      </c>
      <c r="H18" s="207">
        <f t="shared" si="1"/>
        <v>1363.6551645215945</v>
      </c>
      <c r="I18" s="207">
        <f t="shared" si="1"/>
        <v>1431.8379227476744</v>
      </c>
      <c r="J18" s="207">
        <f t="shared" si="1"/>
        <v>1503.4298188850582</v>
      </c>
      <c r="K18" s="207">
        <f t="shared" si="1"/>
        <v>1578.6013098293113</v>
      </c>
      <c r="L18" s="207">
        <f t="shared" si="1"/>
        <v>1657.531375320777</v>
      </c>
      <c r="M18" s="207">
        <f t="shared" si="1"/>
        <v>1740.4079440868159</v>
      </c>
      <c r="N18" s="207">
        <f t="shared" si="1"/>
        <v>1827.4283412911568</v>
      </c>
      <c r="O18" s="72"/>
      <c r="P18" s="72"/>
      <c r="Q18" s="73"/>
      <c r="R18" s="73"/>
      <c r="S18" s="73"/>
      <c r="T18" s="75"/>
      <c r="U18" s="74"/>
    </row>
    <row r="19" spans="1:21" s="76" customFormat="1" ht="30" customHeight="1">
      <c r="A19" s="252">
        <v>15</v>
      </c>
      <c r="B19" s="205" t="s">
        <v>28</v>
      </c>
      <c r="C19" s="206">
        <f>($A$200+$B$200)*'[22]نرخ تسهیم'!Q17</f>
        <v>321.37258501982058</v>
      </c>
      <c r="D19" s="207">
        <f t="shared" si="1"/>
        <v>337.4412142708116</v>
      </c>
      <c r="E19" s="207">
        <f t="shared" si="1"/>
        <v>354.31327498435218</v>
      </c>
      <c r="F19" s="207">
        <f t="shared" si="1"/>
        <v>372.02893873356982</v>
      </c>
      <c r="G19" s="207">
        <f t="shared" si="1"/>
        <v>390.6303856702483</v>
      </c>
      <c r="H19" s="207">
        <f t="shared" si="1"/>
        <v>410.16190495376071</v>
      </c>
      <c r="I19" s="207">
        <f t="shared" si="1"/>
        <v>430.67000020144877</v>
      </c>
      <c r="J19" s="207">
        <f t="shared" si="1"/>
        <v>452.2035002115212</v>
      </c>
      <c r="K19" s="207">
        <f t="shared" si="1"/>
        <v>474.81367522209729</v>
      </c>
      <c r="L19" s="207">
        <f t="shared" si="1"/>
        <v>498.55435898320218</v>
      </c>
      <c r="M19" s="207">
        <f t="shared" si="1"/>
        <v>523.48207693236236</v>
      </c>
      <c r="N19" s="207">
        <f t="shared" si="1"/>
        <v>549.65618077898046</v>
      </c>
      <c r="O19" s="72"/>
      <c r="P19" s="72"/>
      <c r="Q19" s="73"/>
      <c r="R19" s="73"/>
      <c r="S19" s="73"/>
      <c r="T19" s="75"/>
      <c r="U19" s="74"/>
    </row>
    <row r="20" spans="1:21" s="76" customFormat="1" ht="30" customHeight="1">
      <c r="A20" s="252">
        <v>16</v>
      </c>
      <c r="B20" s="205" t="s">
        <v>29</v>
      </c>
      <c r="C20" s="206">
        <f>($A$200+$B$200)*'[22]نرخ تسهیم'!Q18</f>
        <v>229.55184644272902</v>
      </c>
      <c r="D20" s="207">
        <f t="shared" si="1"/>
        <v>241.02943876486549</v>
      </c>
      <c r="E20" s="207">
        <f t="shared" si="1"/>
        <v>253.08091070310877</v>
      </c>
      <c r="F20" s="207">
        <f t="shared" si="1"/>
        <v>265.7349562382642</v>
      </c>
      <c r="G20" s="207">
        <f t="shared" si="1"/>
        <v>279.02170405017745</v>
      </c>
      <c r="H20" s="207">
        <f t="shared" si="1"/>
        <v>292.97278925268631</v>
      </c>
      <c r="I20" s="207">
        <f t="shared" si="1"/>
        <v>307.62142871532063</v>
      </c>
      <c r="J20" s="207">
        <f t="shared" si="1"/>
        <v>323.00250015108668</v>
      </c>
      <c r="K20" s="207">
        <f t="shared" si="1"/>
        <v>339.152625158641</v>
      </c>
      <c r="L20" s="207">
        <f t="shared" si="1"/>
        <v>356.11025641657307</v>
      </c>
      <c r="M20" s="207">
        <f t="shared" si="1"/>
        <v>373.91576923740172</v>
      </c>
      <c r="N20" s="207">
        <f t="shared" si="1"/>
        <v>392.61155769927183</v>
      </c>
      <c r="O20" s="72"/>
      <c r="P20" s="72"/>
      <c r="Q20" s="73"/>
      <c r="R20" s="73"/>
      <c r="S20" s="73"/>
      <c r="T20" s="75"/>
      <c r="U20" s="74"/>
    </row>
    <row r="21" spans="1:21" s="76" customFormat="1" ht="30" customHeight="1">
      <c r="A21" s="252">
        <v>17</v>
      </c>
      <c r="B21" s="205" t="s">
        <v>30</v>
      </c>
      <c r="C21" s="206">
        <f>($A$200+$B$200)*'[22]نرخ تسهیم'!Q19</f>
        <v>636.48466513665767</v>
      </c>
      <c r="D21" s="207">
        <f t="shared" si="1"/>
        <v>668.30889839349061</v>
      </c>
      <c r="E21" s="207">
        <f t="shared" si="1"/>
        <v>701.72434331316515</v>
      </c>
      <c r="F21" s="207">
        <f t="shared" si="1"/>
        <v>736.81056047882339</v>
      </c>
      <c r="G21" s="207">
        <f t="shared" si="1"/>
        <v>773.65108850276454</v>
      </c>
      <c r="H21" s="207">
        <f t="shared" si="1"/>
        <v>812.33364292790282</v>
      </c>
      <c r="I21" s="207">
        <f t="shared" si="1"/>
        <v>852.95032507429801</v>
      </c>
      <c r="J21" s="207">
        <f t="shared" si="1"/>
        <v>895.59784132801292</v>
      </c>
      <c r="K21" s="207">
        <f t="shared" si="1"/>
        <v>940.37773339441355</v>
      </c>
      <c r="L21" s="207">
        <f t="shared" si="1"/>
        <v>987.39662006413425</v>
      </c>
      <c r="M21" s="207">
        <f t="shared" si="1"/>
        <v>1036.766451067341</v>
      </c>
      <c r="N21" s="207">
        <f t="shared" si="1"/>
        <v>1088.6047736207081</v>
      </c>
      <c r="O21" s="72"/>
      <c r="P21" s="72"/>
      <c r="Q21" s="73"/>
      <c r="R21" s="73"/>
      <c r="S21" s="73"/>
      <c r="T21" s="75"/>
      <c r="U21" s="74"/>
    </row>
    <row r="22" spans="1:21" s="76" customFormat="1" ht="30" customHeight="1">
      <c r="A22" s="252">
        <v>18</v>
      </c>
      <c r="B22" s="205" t="s">
        <v>31</v>
      </c>
      <c r="C22" s="206">
        <f>($A$200+$B$200)*'[22]نرخ تسهیم'!Q20</f>
        <v>765.86843313165036</v>
      </c>
      <c r="D22" s="207">
        <f t="shared" ref="D22:N36" si="2">C22*1.05</f>
        <v>804.16185478823286</v>
      </c>
      <c r="E22" s="207">
        <f t="shared" si="2"/>
        <v>844.36994752764451</v>
      </c>
      <c r="F22" s="207">
        <f t="shared" si="2"/>
        <v>886.5884449040268</v>
      </c>
      <c r="G22" s="207">
        <f t="shared" si="2"/>
        <v>930.91786714922819</v>
      </c>
      <c r="H22" s="207">
        <f t="shared" si="2"/>
        <v>977.4637605066896</v>
      </c>
      <c r="I22" s="207">
        <f t="shared" si="2"/>
        <v>1026.3369485320241</v>
      </c>
      <c r="J22" s="207">
        <f t="shared" si="2"/>
        <v>1077.6537959586253</v>
      </c>
      <c r="K22" s="207">
        <f t="shared" si="2"/>
        <v>1131.5364857565567</v>
      </c>
      <c r="L22" s="207">
        <f t="shared" si="2"/>
        <v>1188.1133100443844</v>
      </c>
      <c r="M22" s="207">
        <f t="shared" si="2"/>
        <v>1247.5189755466038</v>
      </c>
      <c r="N22" s="207">
        <f t="shared" si="2"/>
        <v>1309.894924323934</v>
      </c>
      <c r="O22" s="72"/>
      <c r="P22" s="72"/>
      <c r="Q22" s="73"/>
      <c r="R22" s="73"/>
      <c r="S22" s="73"/>
      <c r="T22" s="75"/>
      <c r="U22" s="74"/>
    </row>
    <row r="23" spans="1:21" s="76" customFormat="1" ht="30" customHeight="1">
      <c r="A23" s="252">
        <v>19</v>
      </c>
      <c r="B23" s="205" t="s">
        <v>32</v>
      </c>
      <c r="C23" s="206">
        <f>($A$200+$B$200)*'[22]نرخ تسهیم'!Q21</f>
        <v>569.70594617150016</v>
      </c>
      <c r="D23" s="207">
        <f t="shared" si="2"/>
        <v>598.19124348007517</v>
      </c>
      <c r="E23" s="207">
        <f t="shared" si="2"/>
        <v>628.10080565407895</v>
      </c>
      <c r="F23" s="207">
        <f t="shared" si="2"/>
        <v>659.50584593678298</v>
      </c>
      <c r="G23" s="207">
        <f t="shared" si="2"/>
        <v>692.48113823362212</v>
      </c>
      <c r="H23" s="207">
        <f t="shared" si="2"/>
        <v>727.10519514530324</v>
      </c>
      <c r="I23" s="207">
        <f t="shared" si="2"/>
        <v>763.46045490256847</v>
      </c>
      <c r="J23" s="207">
        <f t="shared" si="2"/>
        <v>801.63347764769696</v>
      </c>
      <c r="K23" s="207">
        <f t="shared" si="2"/>
        <v>841.71515153008181</v>
      </c>
      <c r="L23" s="207">
        <f t="shared" si="2"/>
        <v>883.80090910658589</v>
      </c>
      <c r="M23" s="207">
        <f t="shared" si="2"/>
        <v>927.99095456191526</v>
      </c>
      <c r="N23" s="207">
        <f t="shared" si="2"/>
        <v>974.39050229001111</v>
      </c>
      <c r="O23" s="72"/>
      <c r="P23" s="72"/>
      <c r="Q23" s="73"/>
      <c r="R23" s="73"/>
      <c r="S23" s="73"/>
      <c r="T23" s="75"/>
      <c r="U23" s="74"/>
    </row>
    <row r="24" spans="1:21" s="76" customFormat="1" ht="30" customHeight="1">
      <c r="A24" s="252">
        <v>20</v>
      </c>
      <c r="B24" s="205" t="s">
        <v>33</v>
      </c>
      <c r="C24" s="206">
        <f>($A$200+$B$200)*'[22]نرخ تسهیم'!Q22</f>
        <v>361.02244940538287</v>
      </c>
      <c r="D24" s="207">
        <f t="shared" si="2"/>
        <v>379.07357187565202</v>
      </c>
      <c r="E24" s="207">
        <f t="shared" si="2"/>
        <v>398.02725046943465</v>
      </c>
      <c r="F24" s="207">
        <f t="shared" si="2"/>
        <v>417.92861299290638</v>
      </c>
      <c r="G24" s="207">
        <f t="shared" si="2"/>
        <v>438.82504364255169</v>
      </c>
      <c r="H24" s="207">
        <f t="shared" si="2"/>
        <v>460.76629582467928</v>
      </c>
      <c r="I24" s="207">
        <f t="shared" si="2"/>
        <v>483.80461061591325</v>
      </c>
      <c r="J24" s="207">
        <f t="shared" si="2"/>
        <v>507.99484114670895</v>
      </c>
      <c r="K24" s="207">
        <f t="shared" si="2"/>
        <v>533.39458320404447</v>
      </c>
      <c r="L24" s="207">
        <f t="shared" si="2"/>
        <v>560.06431236424669</v>
      </c>
      <c r="M24" s="207">
        <f t="shared" si="2"/>
        <v>588.06752798245907</v>
      </c>
      <c r="N24" s="207">
        <f t="shared" si="2"/>
        <v>617.47090438158205</v>
      </c>
      <c r="O24" s="72"/>
      <c r="P24" s="72"/>
      <c r="Q24" s="73"/>
      <c r="R24" s="73"/>
      <c r="S24" s="73"/>
      <c r="T24" s="75"/>
      <c r="U24" s="74"/>
    </row>
    <row r="25" spans="1:21" s="76" customFormat="1" ht="30" customHeight="1">
      <c r="A25" s="252">
        <v>21</v>
      </c>
      <c r="B25" s="205" t="s">
        <v>34</v>
      </c>
      <c r="C25" s="206">
        <f>($A$200+$B$200)*'[22]نرخ تسهیم'!Q23</f>
        <v>363.10928437304409</v>
      </c>
      <c r="D25" s="207">
        <f t="shared" si="2"/>
        <v>381.26474859169633</v>
      </c>
      <c r="E25" s="207">
        <f t="shared" si="2"/>
        <v>400.32798602128116</v>
      </c>
      <c r="F25" s="207">
        <f t="shared" si="2"/>
        <v>420.34438532234526</v>
      </c>
      <c r="G25" s="207">
        <f t="shared" si="2"/>
        <v>441.36160458846257</v>
      </c>
      <c r="H25" s="207">
        <f t="shared" si="2"/>
        <v>463.42968481788574</v>
      </c>
      <c r="I25" s="207">
        <f t="shared" si="2"/>
        <v>486.60116905878004</v>
      </c>
      <c r="J25" s="207">
        <f t="shared" si="2"/>
        <v>510.93122751171904</v>
      </c>
      <c r="K25" s="207">
        <f t="shared" si="2"/>
        <v>536.477788887305</v>
      </c>
      <c r="L25" s="207">
        <f t="shared" si="2"/>
        <v>563.30167833167025</v>
      </c>
      <c r="M25" s="207">
        <f t="shared" si="2"/>
        <v>591.46676224825376</v>
      </c>
      <c r="N25" s="207">
        <f t="shared" si="2"/>
        <v>621.04010036066643</v>
      </c>
      <c r="O25" s="72"/>
      <c r="P25" s="72"/>
      <c r="Q25" s="73"/>
      <c r="R25" s="73"/>
      <c r="S25" s="73"/>
      <c r="T25" s="75"/>
      <c r="U25" s="74"/>
    </row>
    <row r="26" spans="1:21" s="76" customFormat="1" ht="30" customHeight="1">
      <c r="A26" s="252">
        <v>22</v>
      </c>
      <c r="B26" s="205" t="s">
        <v>35</v>
      </c>
      <c r="C26" s="206">
        <f>($A$200+$B$200)*'[22]نرخ تسهیم'!Q24</f>
        <v>390.2381389526393</v>
      </c>
      <c r="D26" s="207">
        <f t="shared" si="2"/>
        <v>409.75004590027129</v>
      </c>
      <c r="E26" s="207">
        <f t="shared" si="2"/>
        <v>430.23754819528489</v>
      </c>
      <c r="F26" s="207">
        <f t="shared" si="2"/>
        <v>451.74942560504917</v>
      </c>
      <c r="G26" s="207">
        <f t="shared" si="2"/>
        <v>474.33689688530166</v>
      </c>
      <c r="H26" s="207">
        <f t="shared" si="2"/>
        <v>498.05374172956675</v>
      </c>
      <c r="I26" s="207">
        <f t="shared" si="2"/>
        <v>522.9564288160451</v>
      </c>
      <c r="J26" s="207">
        <f t="shared" si="2"/>
        <v>549.10425025684742</v>
      </c>
      <c r="K26" s="207">
        <f t="shared" si="2"/>
        <v>576.55946276968984</v>
      </c>
      <c r="L26" s="207">
        <f t="shared" si="2"/>
        <v>605.38743590817433</v>
      </c>
      <c r="M26" s="207">
        <f t="shared" si="2"/>
        <v>635.65680770358301</v>
      </c>
      <c r="N26" s="207">
        <f t="shared" si="2"/>
        <v>667.43964808876217</v>
      </c>
      <c r="O26" s="72"/>
      <c r="P26" s="72"/>
      <c r="Q26" s="73"/>
      <c r="R26" s="73"/>
      <c r="S26" s="73"/>
      <c r="T26" s="75"/>
      <c r="U26" s="74"/>
    </row>
    <row r="27" spans="1:21" s="76" customFormat="1" ht="30" customHeight="1">
      <c r="A27" s="252">
        <v>23</v>
      </c>
      <c r="B27" s="205" t="s">
        <v>36</v>
      </c>
      <c r="C27" s="206">
        <f>($A$200+$B$200)*'[22]نرخ تسهیم'!Q25</f>
        <v>557.18493636553308</v>
      </c>
      <c r="D27" s="207">
        <f t="shared" si="2"/>
        <v>585.04418318380976</v>
      </c>
      <c r="E27" s="207">
        <f t="shared" si="2"/>
        <v>614.29639234300032</v>
      </c>
      <c r="F27" s="207">
        <f t="shared" si="2"/>
        <v>645.01121196015038</v>
      </c>
      <c r="G27" s="207">
        <f t="shared" si="2"/>
        <v>677.26177255815787</v>
      </c>
      <c r="H27" s="207">
        <f t="shared" si="2"/>
        <v>711.1248611860658</v>
      </c>
      <c r="I27" s="207">
        <f t="shared" si="2"/>
        <v>746.68110424536917</v>
      </c>
      <c r="J27" s="207">
        <f t="shared" si="2"/>
        <v>784.01515945763765</v>
      </c>
      <c r="K27" s="207">
        <f t="shared" si="2"/>
        <v>823.21591743051954</v>
      </c>
      <c r="L27" s="207">
        <f t="shared" si="2"/>
        <v>864.37671330204557</v>
      </c>
      <c r="M27" s="207">
        <f t="shared" si="2"/>
        <v>907.59554896714792</v>
      </c>
      <c r="N27" s="207">
        <f t="shared" si="2"/>
        <v>952.97532641550538</v>
      </c>
      <c r="O27" s="72"/>
      <c r="P27" s="72"/>
      <c r="Q27" s="73"/>
      <c r="R27" s="73"/>
      <c r="S27" s="73"/>
      <c r="T27" s="75"/>
      <c r="U27" s="74"/>
    </row>
    <row r="28" spans="1:21" s="76" customFormat="1" ht="30" customHeight="1">
      <c r="A28" s="252">
        <v>24</v>
      </c>
      <c r="B28" s="205" t="s">
        <v>37</v>
      </c>
      <c r="C28" s="206">
        <f>($A$200+$B$200)*'[22]نرخ تسهیم'!Q26</f>
        <v>319.28575005215941</v>
      </c>
      <c r="D28" s="207">
        <f t="shared" si="2"/>
        <v>335.2500375547674</v>
      </c>
      <c r="E28" s="207">
        <f t="shared" si="2"/>
        <v>352.01253943250578</v>
      </c>
      <c r="F28" s="207">
        <f t="shared" si="2"/>
        <v>369.61316640413111</v>
      </c>
      <c r="G28" s="207">
        <f t="shared" si="2"/>
        <v>388.09382472433765</v>
      </c>
      <c r="H28" s="207">
        <f t="shared" si="2"/>
        <v>407.49851596055453</v>
      </c>
      <c r="I28" s="207">
        <f t="shared" si="2"/>
        <v>427.87344175858226</v>
      </c>
      <c r="J28" s="207">
        <f t="shared" si="2"/>
        <v>449.26711384651139</v>
      </c>
      <c r="K28" s="207">
        <f t="shared" si="2"/>
        <v>471.73046953883699</v>
      </c>
      <c r="L28" s="207">
        <f t="shared" si="2"/>
        <v>495.31699301577885</v>
      </c>
      <c r="M28" s="207">
        <f t="shared" si="2"/>
        <v>520.08284266656779</v>
      </c>
      <c r="N28" s="207">
        <f t="shared" si="2"/>
        <v>546.08698479989619</v>
      </c>
      <c r="O28" s="72"/>
      <c r="P28" s="72"/>
      <c r="Q28" s="73"/>
      <c r="R28" s="73"/>
      <c r="S28" s="73"/>
      <c r="T28" s="75"/>
      <c r="U28" s="74"/>
    </row>
    <row r="29" spans="1:21" s="76" customFormat="1" ht="30" customHeight="1">
      <c r="A29" s="252">
        <v>25</v>
      </c>
      <c r="B29" s="205" t="s">
        <v>38</v>
      </c>
      <c r="C29" s="206">
        <f>($A$200+$B$200)*'[22]نرخ تسهیم'!Q27</f>
        <v>605.18214062174002</v>
      </c>
      <c r="D29" s="207">
        <f t="shared" si="2"/>
        <v>635.44124765282709</v>
      </c>
      <c r="E29" s="207">
        <f t="shared" si="2"/>
        <v>667.21331003546845</v>
      </c>
      <c r="F29" s="207">
        <f t="shared" si="2"/>
        <v>700.57397553724195</v>
      </c>
      <c r="G29" s="207">
        <f t="shared" si="2"/>
        <v>735.60267431410409</v>
      </c>
      <c r="H29" s="207">
        <f t="shared" si="2"/>
        <v>772.38280802980933</v>
      </c>
      <c r="I29" s="207">
        <f t="shared" si="2"/>
        <v>811.00194843129987</v>
      </c>
      <c r="J29" s="207">
        <f t="shared" si="2"/>
        <v>851.55204585286492</v>
      </c>
      <c r="K29" s="207">
        <f t="shared" si="2"/>
        <v>894.12964814550821</v>
      </c>
      <c r="L29" s="207">
        <f t="shared" si="2"/>
        <v>938.83613055278363</v>
      </c>
      <c r="M29" s="207">
        <f t="shared" si="2"/>
        <v>985.77793708042282</v>
      </c>
      <c r="N29" s="207">
        <f t="shared" si="2"/>
        <v>1035.066833934444</v>
      </c>
      <c r="O29" s="72"/>
      <c r="P29" s="72"/>
      <c r="Q29" s="73"/>
      <c r="R29" s="73"/>
      <c r="S29" s="73"/>
      <c r="T29" s="75"/>
      <c r="U29" s="74"/>
    </row>
    <row r="30" spans="1:21" s="76" customFormat="1" ht="30" customHeight="1">
      <c r="A30" s="252">
        <v>26</v>
      </c>
      <c r="B30" s="205" t="s">
        <v>39</v>
      </c>
      <c r="C30" s="206">
        <f>($A$200+$B$200)*'[22]نرخ تسهیم'!Q28</f>
        <v>1487.9133319424161</v>
      </c>
      <c r="D30" s="207">
        <f t="shared" si="2"/>
        <v>1562.308998539537</v>
      </c>
      <c r="E30" s="207">
        <f t="shared" si="2"/>
        <v>1640.4244484665139</v>
      </c>
      <c r="F30" s="207">
        <f t="shared" si="2"/>
        <v>1722.4456708898397</v>
      </c>
      <c r="G30" s="207">
        <f t="shared" si="2"/>
        <v>1808.5679544343318</v>
      </c>
      <c r="H30" s="207">
        <f t="shared" si="2"/>
        <v>1898.9963521560485</v>
      </c>
      <c r="I30" s="207">
        <f t="shared" si="2"/>
        <v>1993.946169763851</v>
      </c>
      <c r="J30" s="207">
        <f t="shared" si="2"/>
        <v>2093.6434782520437</v>
      </c>
      <c r="K30" s="207">
        <f t="shared" si="2"/>
        <v>2198.3256521646458</v>
      </c>
      <c r="L30" s="207">
        <f t="shared" si="2"/>
        <v>2308.2419347728783</v>
      </c>
      <c r="M30" s="207">
        <f t="shared" si="2"/>
        <v>2423.6540315115221</v>
      </c>
      <c r="N30" s="207">
        <f t="shared" si="2"/>
        <v>2544.8367330870983</v>
      </c>
      <c r="O30" s="72"/>
      <c r="P30" s="72"/>
      <c r="Q30" s="73"/>
      <c r="R30" s="73"/>
      <c r="S30" s="73"/>
      <c r="T30" s="75"/>
      <c r="U30" s="74"/>
    </row>
    <row r="31" spans="1:21" s="76" customFormat="1" ht="30" customHeight="1">
      <c r="A31" s="252">
        <v>27</v>
      </c>
      <c r="B31" s="205" t="s">
        <v>40</v>
      </c>
      <c r="C31" s="206">
        <f>($A$200+$B$200)*'[22]نرخ تسهیم'!Q29</f>
        <v>757.52109326100572</v>
      </c>
      <c r="D31" s="207">
        <f t="shared" si="2"/>
        <v>795.39714792405607</v>
      </c>
      <c r="E31" s="207">
        <f t="shared" si="2"/>
        <v>835.16700532025891</v>
      </c>
      <c r="F31" s="207">
        <f t="shared" si="2"/>
        <v>876.92535558627185</v>
      </c>
      <c r="G31" s="207">
        <f t="shared" si="2"/>
        <v>920.77162336558547</v>
      </c>
      <c r="H31" s="207">
        <f t="shared" si="2"/>
        <v>966.81020453386475</v>
      </c>
      <c r="I31" s="207">
        <f t="shared" si="2"/>
        <v>1015.150714760558</v>
      </c>
      <c r="J31" s="207">
        <f t="shared" si="2"/>
        <v>1065.9082504985859</v>
      </c>
      <c r="K31" s="207">
        <f t="shared" si="2"/>
        <v>1119.2036630235152</v>
      </c>
      <c r="L31" s="207">
        <f t="shared" si="2"/>
        <v>1175.1638461746911</v>
      </c>
      <c r="M31" s="207">
        <f t="shared" si="2"/>
        <v>1233.9220384834257</v>
      </c>
      <c r="N31" s="207">
        <f t="shared" si="2"/>
        <v>1295.6181404075971</v>
      </c>
      <c r="O31" s="72"/>
      <c r="P31" s="72"/>
      <c r="Q31" s="73"/>
      <c r="R31" s="73"/>
      <c r="S31" s="73"/>
      <c r="T31" s="75"/>
      <c r="U31" s="74"/>
    </row>
    <row r="32" spans="1:21" s="76" customFormat="1" ht="30" customHeight="1">
      <c r="A32" s="252">
        <v>28</v>
      </c>
      <c r="B32" s="205" t="s">
        <v>41</v>
      </c>
      <c r="C32" s="206">
        <f>($A$200+$B$200)*'[22]نرخ تسهیم'!Q30</f>
        <v>1663.2074692259546</v>
      </c>
      <c r="D32" s="207">
        <f t="shared" si="2"/>
        <v>1746.3678426872523</v>
      </c>
      <c r="E32" s="207">
        <f t="shared" si="2"/>
        <v>1833.686234821615</v>
      </c>
      <c r="F32" s="207">
        <f t="shared" si="2"/>
        <v>1925.3705465626958</v>
      </c>
      <c r="G32" s="207">
        <f t="shared" si="2"/>
        <v>2021.6390738908308</v>
      </c>
      <c r="H32" s="207">
        <f t="shared" si="2"/>
        <v>2122.7210275853722</v>
      </c>
      <c r="I32" s="207">
        <f t="shared" si="2"/>
        <v>2228.857078964641</v>
      </c>
      <c r="J32" s="207">
        <f t="shared" si="2"/>
        <v>2340.2999329128734</v>
      </c>
      <c r="K32" s="207">
        <f t="shared" si="2"/>
        <v>2457.3149295585172</v>
      </c>
      <c r="L32" s="207">
        <f t="shared" si="2"/>
        <v>2580.1806760364429</v>
      </c>
      <c r="M32" s="207">
        <f t="shared" si="2"/>
        <v>2709.1897098382651</v>
      </c>
      <c r="N32" s="207">
        <f t="shared" si="2"/>
        <v>2844.6491953301784</v>
      </c>
      <c r="O32" s="72"/>
      <c r="P32" s="72"/>
      <c r="Q32" s="73"/>
      <c r="R32" s="73"/>
      <c r="S32" s="73"/>
      <c r="T32" s="75"/>
      <c r="U32" s="74"/>
    </row>
    <row r="33" spans="1:21" s="76" customFormat="1" ht="30" customHeight="1">
      <c r="A33" s="252">
        <v>29</v>
      </c>
      <c r="B33" s="205" t="s">
        <v>42</v>
      </c>
      <c r="C33" s="206">
        <f>($A$200+$B$200)*'[22]نرخ تسهیم'!Q31</f>
        <v>419.45382849989574</v>
      </c>
      <c r="D33" s="207">
        <f t="shared" si="2"/>
        <v>440.42651992489056</v>
      </c>
      <c r="E33" s="207">
        <f t="shared" si="2"/>
        <v>462.44784592113513</v>
      </c>
      <c r="F33" s="207">
        <f t="shared" si="2"/>
        <v>485.5702382171919</v>
      </c>
      <c r="G33" s="207">
        <f t="shared" si="2"/>
        <v>509.84875012805151</v>
      </c>
      <c r="H33" s="207">
        <f t="shared" si="2"/>
        <v>535.34118763445406</v>
      </c>
      <c r="I33" s="207">
        <f t="shared" si="2"/>
        <v>562.10824701617673</v>
      </c>
      <c r="J33" s="207">
        <f t="shared" si="2"/>
        <v>590.21365936698555</v>
      </c>
      <c r="K33" s="207">
        <f t="shared" si="2"/>
        <v>619.72434233533488</v>
      </c>
      <c r="L33" s="207">
        <f t="shared" si="2"/>
        <v>650.71055945210162</v>
      </c>
      <c r="M33" s="207">
        <f t="shared" si="2"/>
        <v>683.24608742470673</v>
      </c>
      <c r="N33" s="207">
        <f t="shared" si="2"/>
        <v>717.40839179594207</v>
      </c>
      <c r="O33" s="72"/>
      <c r="P33" s="72"/>
      <c r="Q33" s="73"/>
      <c r="R33" s="73"/>
      <c r="S33" s="73"/>
      <c r="T33" s="75"/>
      <c r="U33" s="74"/>
    </row>
    <row r="34" spans="1:21" s="76" customFormat="1" ht="30" customHeight="1">
      <c r="A34" s="252">
        <v>30</v>
      </c>
      <c r="B34" s="205" t="s">
        <v>43</v>
      </c>
      <c r="C34" s="206">
        <f>($A$200+$B$200)*'[22]نرخ تسهیم'!Q32</f>
        <v>217.03083663676196</v>
      </c>
      <c r="D34" s="207">
        <f t="shared" si="2"/>
        <v>227.88237846860008</v>
      </c>
      <c r="E34" s="207">
        <f t="shared" si="2"/>
        <v>239.27649739203011</v>
      </c>
      <c r="F34" s="207">
        <f t="shared" si="2"/>
        <v>251.24032226163163</v>
      </c>
      <c r="G34" s="207">
        <f t="shared" si="2"/>
        <v>263.8023383747132</v>
      </c>
      <c r="H34" s="207">
        <f t="shared" si="2"/>
        <v>276.99245529344887</v>
      </c>
      <c r="I34" s="207">
        <f t="shared" si="2"/>
        <v>290.84207805812133</v>
      </c>
      <c r="J34" s="207">
        <f t="shared" si="2"/>
        <v>305.38418196102742</v>
      </c>
      <c r="K34" s="207">
        <f t="shared" si="2"/>
        <v>320.65339105907879</v>
      </c>
      <c r="L34" s="207">
        <f t="shared" si="2"/>
        <v>336.68606061203275</v>
      </c>
      <c r="M34" s="207">
        <f t="shared" si="2"/>
        <v>353.52036364263438</v>
      </c>
      <c r="N34" s="207">
        <f t="shared" si="2"/>
        <v>371.19638182476609</v>
      </c>
      <c r="O34" s="72"/>
      <c r="P34" s="72"/>
      <c r="Q34" s="73"/>
      <c r="R34" s="73"/>
      <c r="S34" s="73"/>
      <c r="T34" s="75"/>
      <c r="U34" s="74"/>
    </row>
    <row r="35" spans="1:21" s="76" customFormat="1" ht="30" customHeight="1">
      <c r="A35" s="252">
        <v>31</v>
      </c>
      <c r="B35" s="205" t="s">
        <v>44</v>
      </c>
      <c r="C35" s="206">
        <f>($A$200+$B$200)*'[22]نرخ تسهیم'!Q33</f>
        <v>559.27177133319424</v>
      </c>
      <c r="D35" s="207">
        <f t="shared" si="2"/>
        <v>587.23535989985396</v>
      </c>
      <c r="E35" s="207">
        <f t="shared" si="2"/>
        <v>616.59712789484672</v>
      </c>
      <c r="F35" s="207">
        <f t="shared" si="2"/>
        <v>647.42698428958909</v>
      </c>
      <c r="G35" s="207">
        <f t="shared" si="2"/>
        <v>679.79833350406852</v>
      </c>
      <c r="H35" s="207">
        <f t="shared" si="2"/>
        <v>713.78825017927193</v>
      </c>
      <c r="I35" s="207">
        <f t="shared" si="2"/>
        <v>749.47766268823557</v>
      </c>
      <c r="J35" s="207">
        <f t="shared" si="2"/>
        <v>786.9515458226474</v>
      </c>
      <c r="K35" s="207">
        <f t="shared" si="2"/>
        <v>826.29912311377984</v>
      </c>
      <c r="L35" s="207">
        <f t="shared" si="2"/>
        <v>867.6140792694689</v>
      </c>
      <c r="M35" s="207">
        <f t="shared" si="2"/>
        <v>910.99478323294238</v>
      </c>
      <c r="N35" s="207">
        <f t="shared" si="2"/>
        <v>956.54452239458953</v>
      </c>
      <c r="O35" s="72"/>
      <c r="P35" s="72"/>
      <c r="Q35" s="73"/>
      <c r="R35" s="73"/>
      <c r="S35" s="73"/>
      <c r="T35" s="75"/>
      <c r="U35" s="74"/>
    </row>
    <row r="36" spans="1:21" s="76" customFormat="1" ht="30" customHeight="1">
      <c r="A36" s="252">
        <v>32</v>
      </c>
      <c r="B36" s="205" t="s">
        <v>45</v>
      </c>
      <c r="C36" s="206">
        <f>($A$200+$B$200)*'[22]نرخ تسهیم'!Q34</f>
        <v>306.76474024619239</v>
      </c>
      <c r="D36" s="207">
        <f t="shared" si="2"/>
        <v>322.10297725850199</v>
      </c>
      <c r="E36" s="207">
        <f t="shared" si="2"/>
        <v>338.20812612142709</v>
      </c>
      <c r="F36" s="207">
        <f t="shared" si="2"/>
        <v>355.11853242749845</v>
      </c>
      <c r="G36" s="207">
        <f t="shared" si="2"/>
        <v>372.8744590488734</v>
      </c>
      <c r="H36" s="207">
        <f t="shared" si="2"/>
        <v>391.51818200131709</v>
      </c>
      <c r="I36" s="207">
        <f t="shared" si="2"/>
        <v>411.09409110138296</v>
      </c>
      <c r="J36" s="207">
        <f t="shared" si="2"/>
        <v>431.64879565645214</v>
      </c>
      <c r="K36" s="207">
        <f t="shared" si="2"/>
        <v>453.23123543927477</v>
      </c>
      <c r="L36" s="207">
        <f t="shared" si="2"/>
        <v>475.89279721123853</v>
      </c>
      <c r="M36" s="207">
        <f t="shared" si="2"/>
        <v>499.6874370718005</v>
      </c>
      <c r="N36" s="207">
        <f t="shared" si="2"/>
        <v>524.67180892539056</v>
      </c>
      <c r="O36" s="72"/>
      <c r="P36" s="72"/>
      <c r="Q36" s="73"/>
      <c r="R36" s="73"/>
      <c r="S36" s="73"/>
      <c r="T36" s="75"/>
      <c r="U36" s="74"/>
    </row>
    <row r="37" spans="1:21" s="79" customFormat="1" ht="30" customHeight="1">
      <c r="A37" s="412" t="s">
        <v>107</v>
      </c>
      <c r="B37" s="412"/>
      <c r="C37" s="206">
        <f t="shared" ref="C37:N37" si="3">SUM(C5:C36)</f>
        <v>20004.400000000001</v>
      </c>
      <c r="D37" s="206">
        <f t="shared" si="3"/>
        <v>21004.620000000003</v>
      </c>
      <c r="E37" s="206">
        <f t="shared" si="3"/>
        <v>22054.850999999999</v>
      </c>
      <c r="F37" s="206">
        <f t="shared" si="3"/>
        <v>23157.593550000001</v>
      </c>
      <c r="G37" s="206">
        <f t="shared" si="3"/>
        <v>24315.47322750001</v>
      </c>
      <c r="H37" s="206">
        <f t="shared" si="3"/>
        <v>25531.246888875001</v>
      </c>
      <c r="I37" s="206">
        <f t="shared" si="3"/>
        <v>26807.80923331876</v>
      </c>
      <c r="J37" s="206">
        <f t="shared" si="3"/>
        <v>28148.199694984702</v>
      </c>
      <c r="K37" s="206">
        <f t="shared" si="3"/>
        <v>29555.609679733938</v>
      </c>
      <c r="L37" s="206">
        <f t="shared" si="3"/>
        <v>31033.390163720629</v>
      </c>
      <c r="M37" s="206">
        <f t="shared" si="3"/>
        <v>32585.059671906663</v>
      </c>
      <c r="N37" s="206">
        <f t="shared" si="3"/>
        <v>34214.312655501999</v>
      </c>
      <c r="O37" s="72"/>
      <c r="P37" s="72"/>
      <c r="Q37" s="73"/>
      <c r="R37" s="73"/>
      <c r="S37" s="73"/>
      <c r="T37" s="77"/>
      <c r="U37" s="78"/>
    </row>
    <row r="199" spans="1:20" s="33" customFormat="1" ht="35.1" customHeight="1">
      <c r="D199" s="80"/>
      <c r="E199" s="80"/>
      <c r="F199" s="80"/>
      <c r="G199" s="80"/>
      <c r="H199" s="80"/>
      <c r="I199" s="80"/>
      <c r="J199" s="80"/>
      <c r="K199" s="80"/>
      <c r="L199" s="80"/>
      <c r="M199" s="80"/>
      <c r="N199" s="81"/>
      <c r="O199" s="32"/>
      <c r="P199" s="32"/>
      <c r="Q199" s="32"/>
      <c r="R199" s="32"/>
      <c r="T199" s="34"/>
    </row>
    <row r="200" spans="1:20" s="33" customFormat="1" ht="35.1" customHeight="1">
      <c r="A200" s="33">
        <f>'[22]عملیات-فعالیت ها '!$L$24</f>
        <v>20004.400000000001</v>
      </c>
      <c r="B200" s="33">
        <f>'[22]عملیات-فعالیت ها '!$M$24</f>
        <v>0</v>
      </c>
      <c r="D200" s="80"/>
      <c r="E200" s="80"/>
      <c r="F200" s="80"/>
      <c r="G200" s="80"/>
      <c r="H200" s="80"/>
      <c r="I200" s="80"/>
      <c r="J200" s="80"/>
      <c r="K200" s="80"/>
      <c r="L200" s="80"/>
      <c r="M200" s="80"/>
      <c r="N200" s="81"/>
      <c r="O200" s="32"/>
      <c r="P200" s="32"/>
      <c r="Q200" s="32"/>
      <c r="R200" s="32"/>
      <c r="T200" s="34"/>
    </row>
    <row r="201" spans="1:20" s="33" customFormat="1" ht="35.1" customHeight="1">
      <c r="D201" s="80"/>
      <c r="E201" s="80"/>
      <c r="F201" s="80"/>
      <c r="G201" s="80"/>
      <c r="H201" s="80"/>
      <c r="I201" s="80"/>
      <c r="J201" s="80"/>
      <c r="K201" s="80"/>
      <c r="L201" s="80"/>
      <c r="M201" s="80"/>
      <c r="N201" s="81"/>
      <c r="O201" s="32"/>
      <c r="P201" s="32"/>
      <c r="Q201" s="32"/>
      <c r="R201" s="32"/>
      <c r="T201" s="34"/>
    </row>
  </sheetData>
  <mergeCells count="17">
    <mergeCell ref="A37:B37"/>
    <mergeCell ref="I3:I4"/>
    <mergeCell ref="J3:J4"/>
    <mergeCell ref="K3:K4"/>
    <mergeCell ref="L3:L4"/>
    <mergeCell ref="M3:M4"/>
    <mergeCell ref="N3:N4"/>
    <mergeCell ref="A1:N1"/>
    <mergeCell ref="A2:A4"/>
    <mergeCell ref="B2:B4"/>
    <mergeCell ref="C2:C4"/>
    <mergeCell ref="D2:D4"/>
    <mergeCell ref="E2:I2"/>
    <mergeCell ref="J2:N2"/>
    <mergeCell ref="E3:F3"/>
    <mergeCell ref="G3:G4"/>
    <mergeCell ref="H3:H4"/>
  </mergeCells>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585"/>
  <sheetViews>
    <sheetView showGridLines="0" rightToLeft="1" workbookViewId="0">
      <pane xSplit="25" topLeftCell="Z1" activePane="topRight" state="frozen"/>
      <selection pane="topRight" sqref="A1:M1"/>
    </sheetView>
  </sheetViews>
  <sheetFormatPr defaultRowHeight="5.65" customHeight="1"/>
  <cols>
    <col min="1" max="1" width="9.33203125" style="3" customWidth="1"/>
    <col min="2" max="2" width="55.5" style="3" customWidth="1"/>
    <col min="3" max="3" width="9" style="125" customWidth="1"/>
    <col min="4" max="9" width="6.6640625" style="126" customWidth="1"/>
    <col min="10" max="12" width="12.5" style="3" customWidth="1"/>
    <col min="13" max="13" width="12.33203125" style="2" customWidth="1"/>
    <col min="14" max="18" width="10.1640625" style="29" hidden="1" customWidth="1"/>
    <col min="19" max="23" width="10.33203125" style="29" hidden="1" customWidth="1"/>
    <col min="24" max="25" width="10.1640625" style="30" hidden="1" customWidth="1"/>
    <col min="26" max="26" width="17.83203125" style="121" customWidth="1"/>
    <col min="27" max="27" width="9.33203125" style="2"/>
    <col min="28" max="16384" width="9.33203125" style="3"/>
  </cols>
  <sheetData>
    <row r="1" spans="1:27" ht="88.5" customHeight="1">
      <c r="A1" s="455" t="s">
        <v>332</v>
      </c>
      <c r="B1" s="455"/>
      <c r="C1" s="455"/>
      <c r="D1" s="455"/>
      <c r="E1" s="455"/>
      <c r="F1" s="455"/>
      <c r="G1" s="455"/>
      <c r="H1" s="455"/>
      <c r="I1" s="455"/>
      <c r="J1" s="455"/>
      <c r="K1" s="455"/>
      <c r="L1" s="455"/>
      <c r="M1" s="455"/>
    </row>
    <row r="2" spans="1:27" ht="33.75" customHeight="1">
      <c r="A2" s="262">
        <f>$M$25</f>
        <v>2</v>
      </c>
      <c r="B2" s="456" t="s">
        <v>134</v>
      </c>
      <c r="C2" s="383" t="s">
        <v>135</v>
      </c>
      <c r="D2" s="384" t="s">
        <v>136</v>
      </c>
      <c r="E2" s="384"/>
      <c r="F2" s="384"/>
      <c r="G2" s="384"/>
      <c r="H2" s="384" t="s">
        <v>137</v>
      </c>
      <c r="I2" s="384" t="s">
        <v>138</v>
      </c>
      <c r="J2" s="385" t="s">
        <v>139</v>
      </c>
      <c r="K2" s="385" t="s">
        <v>333</v>
      </c>
      <c r="L2" s="385" t="s">
        <v>141</v>
      </c>
      <c r="M2" s="386" t="s">
        <v>142</v>
      </c>
    </row>
    <row r="3" spans="1:27" ht="31.5" customHeight="1">
      <c r="A3" s="263" t="s">
        <v>0</v>
      </c>
      <c r="B3" s="456"/>
      <c r="C3" s="383"/>
      <c r="D3" s="208" t="s">
        <v>143</v>
      </c>
      <c r="E3" s="208" t="s">
        <v>144</v>
      </c>
      <c r="F3" s="208" t="s">
        <v>145</v>
      </c>
      <c r="G3" s="208" t="s">
        <v>146</v>
      </c>
      <c r="H3" s="384"/>
      <c r="I3" s="384"/>
      <c r="J3" s="385"/>
      <c r="K3" s="385"/>
      <c r="L3" s="385"/>
      <c r="M3" s="386"/>
      <c r="N3" s="29" t="s">
        <v>147</v>
      </c>
      <c r="O3" s="29" t="s">
        <v>148</v>
      </c>
      <c r="P3" s="29" t="s">
        <v>149</v>
      </c>
      <c r="Q3" s="29" t="s">
        <v>150</v>
      </c>
      <c r="R3" s="29" t="s">
        <v>147</v>
      </c>
      <c r="S3" s="29" t="s">
        <v>148</v>
      </c>
      <c r="T3" s="29" t="s">
        <v>149</v>
      </c>
      <c r="U3" s="29" t="s">
        <v>150</v>
      </c>
      <c r="V3" s="29" t="s">
        <v>164</v>
      </c>
      <c r="W3" s="29" t="s">
        <v>165</v>
      </c>
      <c r="X3" s="30" t="s">
        <v>153</v>
      </c>
      <c r="Y3" s="30" t="s">
        <v>154</v>
      </c>
    </row>
    <row r="4" spans="1:27" ht="54.95" customHeight="1">
      <c r="A4" s="209">
        <v>1</v>
      </c>
      <c r="B4" s="250" t="s">
        <v>334</v>
      </c>
      <c r="C4" s="271">
        <v>0.9</v>
      </c>
      <c r="D4" s="272">
        <v>0</v>
      </c>
      <c r="E4" s="272">
        <v>1</v>
      </c>
      <c r="F4" s="272">
        <v>0</v>
      </c>
      <c r="G4" s="272">
        <v>0</v>
      </c>
      <c r="H4" s="272">
        <v>3</v>
      </c>
      <c r="I4" s="272">
        <v>3</v>
      </c>
      <c r="J4" s="237">
        <v>0</v>
      </c>
      <c r="K4" s="237">
        <v>0</v>
      </c>
      <c r="L4" s="246">
        <f t="shared" ref="L4:L23" si="0">(((J4*C4)/$A$2)*D4)+(((J4*C4)/$A$2)*E4)+(((J4*C4)/$A$2)*F4)+(((J4*C4)/$A$2)*G4)</f>
        <v>0</v>
      </c>
      <c r="M4" s="247">
        <f t="shared" ref="M4:M23" si="1">(((K4*C4)/$A$2)*D4)+(((K4*C4)/$A$2)*E4)+(((K4*C4)/$A$2)*F4)+(((K4*C4)/$A$2)*G4)</f>
        <v>0</v>
      </c>
      <c r="N4" s="122">
        <f t="shared" ref="N4:N23" si="2">J4*D4*C4/$A$2</f>
        <v>0</v>
      </c>
      <c r="O4" s="122">
        <f t="shared" ref="O4:O23" si="3">J4*E4*C4/$A$2</f>
        <v>0</v>
      </c>
      <c r="P4" s="122">
        <f>J4*F4*C4/$A$2</f>
        <v>0</v>
      </c>
      <c r="Q4" s="122">
        <f t="shared" ref="Q4:Q23" si="4">J4*G4*C4/$A$2</f>
        <v>0</v>
      </c>
      <c r="R4" s="122">
        <f t="shared" ref="R4:R23" si="5">K4*D4*C4/$A$2</f>
        <v>0</v>
      </c>
      <c r="S4" s="122">
        <f t="shared" ref="S4:S23" si="6">K4*E4*C4/$A$2</f>
        <v>0</v>
      </c>
      <c r="T4" s="122">
        <f t="shared" ref="T4:T23" si="7">K4*F4*C4/$A$2</f>
        <v>0</v>
      </c>
      <c r="U4" s="122">
        <f t="shared" ref="U4:U23" si="8">K4*G4*C4/$A$2</f>
        <v>0</v>
      </c>
      <c r="V4" s="30">
        <f t="shared" ref="V4:V23" si="9">((L4/15)*((I4+H4)-2))</f>
        <v>0</v>
      </c>
      <c r="W4" s="30">
        <f t="shared" ref="W4:W23" si="10">((M4/15)*((I4+H4)-2))</f>
        <v>0</v>
      </c>
      <c r="X4" s="30">
        <f>L4*(V4/(V4-0.0000001))</f>
        <v>0</v>
      </c>
      <c r="Y4" s="30">
        <f>M4*(W4/(W4-0.0000001))</f>
        <v>0</v>
      </c>
      <c r="Z4" s="2"/>
      <c r="AA4" s="3"/>
    </row>
    <row r="5" spans="1:27" ht="54.95" customHeight="1">
      <c r="A5" s="209">
        <v>2</v>
      </c>
      <c r="B5" s="250" t="s">
        <v>335</v>
      </c>
      <c r="C5" s="271">
        <v>1.4</v>
      </c>
      <c r="D5" s="272">
        <v>0</v>
      </c>
      <c r="E5" s="272">
        <v>1</v>
      </c>
      <c r="F5" s="272">
        <v>1</v>
      </c>
      <c r="G5" s="272">
        <v>0</v>
      </c>
      <c r="H5" s="272">
        <v>4</v>
      </c>
      <c r="I5" s="272">
        <v>3</v>
      </c>
      <c r="J5" s="237">
        <v>0</v>
      </c>
      <c r="K5" s="237">
        <v>0</v>
      </c>
      <c r="L5" s="246">
        <f t="shared" si="0"/>
        <v>0</v>
      </c>
      <c r="M5" s="247">
        <f t="shared" si="1"/>
        <v>0</v>
      </c>
      <c r="N5" s="122">
        <f t="shared" si="2"/>
        <v>0</v>
      </c>
      <c r="O5" s="122">
        <f t="shared" si="3"/>
        <v>0</v>
      </c>
      <c r="P5" s="122">
        <f t="shared" ref="P5:P23" si="11">J5*F5*C5/$A$2</f>
        <v>0</v>
      </c>
      <c r="Q5" s="122">
        <f t="shared" si="4"/>
        <v>0</v>
      </c>
      <c r="R5" s="122">
        <f t="shared" si="5"/>
        <v>0</v>
      </c>
      <c r="S5" s="122">
        <f t="shared" si="6"/>
        <v>0</v>
      </c>
      <c r="T5" s="122">
        <f t="shared" si="7"/>
        <v>0</v>
      </c>
      <c r="U5" s="122">
        <f t="shared" si="8"/>
        <v>0</v>
      </c>
      <c r="V5" s="30">
        <f t="shared" si="9"/>
        <v>0</v>
      </c>
      <c r="W5" s="30">
        <f t="shared" si="10"/>
        <v>0</v>
      </c>
      <c r="X5" s="30">
        <f t="shared" ref="X5:Y23" si="12">L5*(V5/(V5-0.0000001))</f>
        <v>0</v>
      </c>
      <c r="Y5" s="30">
        <f t="shared" si="12"/>
        <v>0</v>
      </c>
      <c r="Z5" s="2"/>
      <c r="AA5" s="3"/>
    </row>
    <row r="6" spans="1:27" ht="54.95" customHeight="1">
      <c r="A6" s="209">
        <v>3</v>
      </c>
      <c r="B6" s="250" t="s">
        <v>336</v>
      </c>
      <c r="C6" s="271">
        <v>2</v>
      </c>
      <c r="D6" s="272">
        <v>0</v>
      </c>
      <c r="E6" s="272">
        <v>1</v>
      </c>
      <c r="F6" s="272">
        <v>0</v>
      </c>
      <c r="G6" s="272">
        <v>0</v>
      </c>
      <c r="H6" s="272">
        <v>5</v>
      </c>
      <c r="I6" s="272">
        <v>3</v>
      </c>
      <c r="J6" s="237">
        <v>0</v>
      </c>
      <c r="K6" s="237">
        <v>0</v>
      </c>
      <c r="L6" s="246">
        <f t="shared" si="0"/>
        <v>0</v>
      </c>
      <c r="M6" s="247">
        <f t="shared" si="1"/>
        <v>0</v>
      </c>
      <c r="N6" s="122">
        <f t="shared" si="2"/>
        <v>0</v>
      </c>
      <c r="O6" s="122">
        <f t="shared" si="3"/>
        <v>0</v>
      </c>
      <c r="P6" s="122">
        <f t="shared" si="11"/>
        <v>0</v>
      </c>
      <c r="Q6" s="122">
        <f t="shared" si="4"/>
        <v>0</v>
      </c>
      <c r="R6" s="122">
        <f t="shared" si="5"/>
        <v>0</v>
      </c>
      <c r="S6" s="122">
        <f t="shared" si="6"/>
        <v>0</v>
      </c>
      <c r="T6" s="122">
        <f t="shared" si="7"/>
        <v>0</v>
      </c>
      <c r="U6" s="122">
        <f t="shared" si="8"/>
        <v>0</v>
      </c>
      <c r="V6" s="30">
        <f t="shared" si="9"/>
        <v>0</v>
      </c>
      <c r="W6" s="30">
        <f t="shared" si="10"/>
        <v>0</v>
      </c>
      <c r="X6" s="30">
        <f t="shared" si="12"/>
        <v>0</v>
      </c>
      <c r="Y6" s="30">
        <f t="shared" si="12"/>
        <v>0</v>
      </c>
      <c r="Z6" s="2"/>
      <c r="AA6" s="3"/>
    </row>
    <row r="7" spans="1:27" ht="54.95" customHeight="1">
      <c r="A7" s="209">
        <v>4</v>
      </c>
      <c r="B7" s="250" t="s">
        <v>337</v>
      </c>
      <c r="C7" s="271">
        <v>0.9</v>
      </c>
      <c r="D7" s="272">
        <v>0</v>
      </c>
      <c r="E7" s="272">
        <v>1</v>
      </c>
      <c r="F7" s="272">
        <v>0</v>
      </c>
      <c r="G7" s="272">
        <v>0</v>
      </c>
      <c r="H7" s="272">
        <v>3</v>
      </c>
      <c r="I7" s="272">
        <v>4</v>
      </c>
      <c r="J7" s="237">
        <v>0</v>
      </c>
      <c r="K7" s="237">
        <v>0</v>
      </c>
      <c r="L7" s="246">
        <f t="shared" si="0"/>
        <v>0</v>
      </c>
      <c r="M7" s="247">
        <f t="shared" si="1"/>
        <v>0</v>
      </c>
      <c r="N7" s="122">
        <f t="shared" si="2"/>
        <v>0</v>
      </c>
      <c r="O7" s="122">
        <f t="shared" si="3"/>
        <v>0</v>
      </c>
      <c r="P7" s="122">
        <f t="shared" si="11"/>
        <v>0</v>
      </c>
      <c r="Q7" s="122">
        <f t="shared" si="4"/>
        <v>0</v>
      </c>
      <c r="R7" s="122">
        <f t="shared" si="5"/>
        <v>0</v>
      </c>
      <c r="S7" s="122">
        <f t="shared" si="6"/>
        <v>0</v>
      </c>
      <c r="T7" s="122">
        <f t="shared" si="7"/>
        <v>0</v>
      </c>
      <c r="U7" s="122">
        <f t="shared" si="8"/>
        <v>0</v>
      </c>
      <c r="V7" s="30">
        <f t="shared" si="9"/>
        <v>0</v>
      </c>
      <c r="W7" s="30">
        <f t="shared" si="10"/>
        <v>0</v>
      </c>
      <c r="X7" s="30">
        <f t="shared" si="12"/>
        <v>0</v>
      </c>
      <c r="Y7" s="30">
        <f t="shared" si="12"/>
        <v>0</v>
      </c>
      <c r="Z7" s="2"/>
      <c r="AA7" s="3"/>
    </row>
    <row r="8" spans="1:27" ht="54.95" customHeight="1">
      <c r="A8" s="209">
        <v>5</v>
      </c>
      <c r="B8" s="250" t="s">
        <v>338</v>
      </c>
      <c r="C8" s="271">
        <v>1.4</v>
      </c>
      <c r="D8" s="272">
        <v>0</v>
      </c>
      <c r="E8" s="272">
        <v>1</v>
      </c>
      <c r="F8" s="272">
        <v>0</v>
      </c>
      <c r="G8" s="272">
        <v>0</v>
      </c>
      <c r="H8" s="272">
        <v>4</v>
      </c>
      <c r="I8" s="272">
        <v>4</v>
      </c>
      <c r="J8" s="237">
        <v>0</v>
      </c>
      <c r="K8" s="237">
        <v>0</v>
      </c>
      <c r="L8" s="246">
        <f t="shared" si="0"/>
        <v>0</v>
      </c>
      <c r="M8" s="247">
        <f t="shared" si="1"/>
        <v>0</v>
      </c>
      <c r="N8" s="122">
        <f t="shared" si="2"/>
        <v>0</v>
      </c>
      <c r="O8" s="122">
        <f t="shared" si="3"/>
        <v>0</v>
      </c>
      <c r="P8" s="122">
        <f t="shared" si="11"/>
        <v>0</v>
      </c>
      <c r="Q8" s="122">
        <f t="shared" si="4"/>
        <v>0</v>
      </c>
      <c r="R8" s="122">
        <f t="shared" si="5"/>
        <v>0</v>
      </c>
      <c r="S8" s="122">
        <f t="shared" si="6"/>
        <v>0</v>
      </c>
      <c r="T8" s="122">
        <f t="shared" si="7"/>
        <v>0</v>
      </c>
      <c r="U8" s="122">
        <f t="shared" si="8"/>
        <v>0</v>
      </c>
      <c r="V8" s="30">
        <f t="shared" si="9"/>
        <v>0</v>
      </c>
      <c r="W8" s="30">
        <f t="shared" si="10"/>
        <v>0</v>
      </c>
      <c r="X8" s="30">
        <f t="shared" si="12"/>
        <v>0</v>
      </c>
      <c r="Y8" s="30">
        <f t="shared" si="12"/>
        <v>0</v>
      </c>
      <c r="Z8" s="2"/>
      <c r="AA8" s="3"/>
    </row>
    <row r="9" spans="1:27" ht="54.95" customHeight="1">
      <c r="A9" s="209">
        <v>6</v>
      </c>
      <c r="B9" s="250" t="s">
        <v>339</v>
      </c>
      <c r="C9" s="271">
        <v>1.5</v>
      </c>
      <c r="D9" s="272">
        <v>0</v>
      </c>
      <c r="E9" s="272">
        <v>1</v>
      </c>
      <c r="F9" s="272">
        <v>0</v>
      </c>
      <c r="G9" s="272">
        <v>0</v>
      </c>
      <c r="H9" s="272">
        <v>4</v>
      </c>
      <c r="I9" s="272">
        <v>3</v>
      </c>
      <c r="J9" s="237">
        <v>0</v>
      </c>
      <c r="K9" s="237">
        <v>0</v>
      </c>
      <c r="L9" s="246">
        <f t="shared" si="0"/>
        <v>0</v>
      </c>
      <c r="M9" s="247">
        <f t="shared" si="1"/>
        <v>0</v>
      </c>
      <c r="N9" s="122">
        <f t="shared" si="2"/>
        <v>0</v>
      </c>
      <c r="O9" s="122">
        <f t="shared" si="3"/>
        <v>0</v>
      </c>
      <c r="P9" s="122">
        <f t="shared" si="11"/>
        <v>0</v>
      </c>
      <c r="Q9" s="122">
        <f t="shared" si="4"/>
        <v>0</v>
      </c>
      <c r="R9" s="122">
        <f t="shared" si="5"/>
        <v>0</v>
      </c>
      <c r="S9" s="122">
        <f t="shared" si="6"/>
        <v>0</v>
      </c>
      <c r="T9" s="122">
        <f t="shared" si="7"/>
        <v>0</v>
      </c>
      <c r="U9" s="122">
        <f t="shared" si="8"/>
        <v>0</v>
      </c>
      <c r="V9" s="30">
        <f t="shared" si="9"/>
        <v>0</v>
      </c>
      <c r="W9" s="30">
        <f t="shared" si="10"/>
        <v>0</v>
      </c>
      <c r="X9" s="30">
        <f t="shared" si="12"/>
        <v>0</v>
      </c>
      <c r="Y9" s="30">
        <f t="shared" si="12"/>
        <v>0</v>
      </c>
      <c r="Z9" s="2"/>
      <c r="AA9" s="3"/>
    </row>
    <row r="10" spans="1:27" ht="54.95" customHeight="1">
      <c r="A10" s="209">
        <v>7</v>
      </c>
      <c r="B10" s="250" t="s">
        <v>340</v>
      </c>
      <c r="C10" s="271">
        <v>2</v>
      </c>
      <c r="D10" s="272">
        <v>0</v>
      </c>
      <c r="E10" s="272">
        <v>1</v>
      </c>
      <c r="F10" s="272">
        <v>0</v>
      </c>
      <c r="G10" s="272">
        <v>1</v>
      </c>
      <c r="H10" s="272">
        <v>4</v>
      </c>
      <c r="I10" s="272">
        <v>3</v>
      </c>
      <c r="J10" s="237">
        <v>0</v>
      </c>
      <c r="K10" s="237">
        <v>0</v>
      </c>
      <c r="L10" s="246">
        <f t="shared" si="0"/>
        <v>0</v>
      </c>
      <c r="M10" s="247">
        <f t="shared" si="1"/>
        <v>0</v>
      </c>
      <c r="N10" s="122">
        <f t="shared" si="2"/>
        <v>0</v>
      </c>
      <c r="O10" s="122">
        <f t="shared" si="3"/>
        <v>0</v>
      </c>
      <c r="P10" s="122">
        <f t="shared" si="11"/>
        <v>0</v>
      </c>
      <c r="Q10" s="122">
        <f t="shared" si="4"/>
        <v>0</v>
      </c>
      <c r="R10" s="122">
        <f t="shared" si="5"/>
        <v>0</v>
      </c>
      <c r="S10" s="122">
        <f t="shared" si="6"/>
        <v>0</v>
      </c>
      <c r="T10" s="122">
        <f t="shared" si="7"/>
        <v>0</v>
      </c>
      <c r="U10" s="122">
        <f t="shared" si="8"/>
        <v>0</v>
      </c>
      <c r="V10" s="30">
        <f t="shared" si="9"/>
        <v>0</v>
      </c>
      <c r="W10" s="30">
        <f t="shared" si="10"/>
        <v>0</v>
      </c>
      <c r="X10" s="30">
        <f t="shared" si="12"/>
        <v>0</v>
      </c>
      <c r="Y10" s="30">
        <f t="shared" si="12"/>
        <v>0</v>
      </c>
      <c r="Z10" s="2"/>
      <c r="AA10" s="3"/>
    </row>
    <row r="11" spans="1:27" ht="54.95" customHeight="1">
      <c r="A11" s="209">
        <v>8</v>
      </c>
      <c r="B11" s="250" t="s">
        <v>341</v>
      </c>
      <c r="C11" s="271">
        <v>2</v>
      </c>
      <c r="D11" s="272">
        <v>0</v>
      </c>
      <c r="E11" s="272">
        <v>1</v>
      </c>
      <c r="F11" s="272">
        <v>0</v>
      </c>
      <c r="G11" s="272">
        <v>0</v>
      </c>
      <c r="H11" s="272">
        <v>4</v>
      </c>
      <c r="I11" s="272">
        <v>3</v>
      </c>
      <c r="J11" s="237">
        <v>0</v>
      </c>
      <c r="K11" s="237">
        <v>0</v>
      </c>
      <c r="L11" s="246">
        <f t="shared" si="0"/>
        <v>0</v>
      </c>
      <c r="M11" s="247">
        <f t="shared" si="1"/>
        <v>0</v>
      </c>
      <c r="N11" s="122">
        <f t="shared" si="2"/>
        <v>0</v>
      </c>
      <c r="O11" s="122">
        <f t="shared" si="3"/>
        <v>0</v>
      </c>
      <c r="P11" s="122">
        <f t="shared" si="11"/>
        <v>0</v>
      </c>
      <c r="Q11" s="122">
        <f t="shared" si="4"/>
        <v>0</v>
      </c>
      <c r="R11" s="122">
        <f t="shared" si="5"/>
        <v>0</v>
      </c>
      <c r="S11" s="122">
        <f t="shared" si="6"/>
        <v>0</v>
      </c>
      <c r="T11" s="122">
        <f t="shared" si="7"/>
        <v>0</v>
      </c>
      <c r="U11" s="122">
        <f t="shared" si="8"/>
        <v>0</v>
      </c>
      <c r="V11" s="30">
        <f t="shared" si="9"/>
        <v>0</v>
      </c>
      <c r="W11" s="30">
        <f t="shared" si="10"/>
        <v>0</v>
      </c>
      <c r="X11" s="30">
        <f t="shared" si="12"/>
        <v>0</v>
      </c>
      <c r="Y11" s="30">
        <f t="shared" si="12"/>
        <v>0</v>
      </c>
      <c r="Z11" s="2"/>
      <c r="AA11" s="3"/>
    </row>
    <row r="12" spans="1:27" ht="54.95" customHeight="1">
      <c r="A12" s="209">
        <v>9</v>
      </c>
      <c r="B12" s="250" t="s">
        <v>342</v>
      </c>
      <c r="C12" s="271">
        <v>2.5</v>
      </c>
      <c r="D12" s="272">
        <v>0</v>
      </c>
      <c r="E12" s="272">
        <v>1</v>
      </c>
      <c r="F12" s="272">
        <v>0</v>
      </c>
      <c r="G12" s="272">
        <v>0</v>
      </c>
      <c r="H12" s="272">
        <v>5</v>
      </c>
      <c r="I12" s="272">
        <v>3</v>
      </c>
      <c r="J12" s="237">
        <v>0</v>
      </c>
      <c r="K12" s="237">
        <v>0</v>
      </c>
      <c r="L12" s="246">
        <f t="shared" si="0"/>
        <v>0</v>
      </c>
      <c r="M12" s="247">
        <f t="shared" si="1"/>
        <v>0</v>
      </c>
      <c r="N12" s="122">
        <f t="shared" si="2"/>
        <v>0</v>
      </c>
      <c r="O12" s="122">
        <f t="shared" si="3"/>
        <v>0</v>
      </c>
      <c r="P12" s="122">
        <f t="shared" si="11"/>
        <v>0</v>
      </c>
      <c r="Q12" s="122">
        <f t="shared" si="4"/>
        <v>0</v>
      </c>
      <c r="R12" s="122">
        <f t="shared" si="5"/>
        <v>0</v>
      </c>
      <c r="S12" s="122">
        <f t="shared" si="6"/>
        <v>0</v>
      </c>
      <c r="T12" s="122">
        <f t="shared" si="7"/>
        <v>0</v>
      </c>
      <c r="U12" s="122">
        <f t="shared" si="8"/>
        <v>0</v>
      </c>
      <c r="V12" s="30">
        <f t="shared" si="9"/>
        <v>0</v>
      </c>
      <c r="W12" s="30">
        <f t="shared" si="10"/>
        <v>0</v>
      </c>
      <c r="X12" s="30">
        <f t="shared" si="12"/>
        <v>0</v>
      </c>
      <c r="Y12" s="30">
        <f t="shared" si="12"/>
        <v>0</v>
      </c>
      <c r="Z12" s="2"/>
      <c r="AA12" s="3"/>
    </row>
    <row r="13" spans="1:27" ht="54.95" customHeight="1">
      <c r="A13" s="209">
        <v>10</v>
      </c>
      <c r="B13" s="250" t="s">
        <v>343</v>
      </c>
      <c r="C13" s="271">
        <v>2</v>
      </c>
      <c r="D13" s="272">
        <v>0</v>
      </c>
      <c r="E13" s="272">
        <v>1</v>
      </c>
      <c r="F13" s="272">
        <v>0</v>
      </c>
      <c r="G13" s="272">
        <v>1</v>
      </c>
      <c r="H13" s="272">
        <v>4</v>
      </c>
      <c r="I13" s="272">
        <v>3</v>
      </c>
      <c r="J13" s="237">
        <v>0</v>
      </c>
      <c r="K13" s="237">
        <v>0</v>
      </c>
      <c r="L13" s="246">
        <f t="shared" si="0"/>
        <v>0</v>
      </c>
      <c r="M13" s="247">
        <f t="shared" si="1"/>
        <v>0</v>
      </c>
      <c r="N13" s="122">
        <f t="shared" si="2"/>
        <v>0</v>
      </c>
      <c r="O13" s="122">
        <f t="shared" si="3"/>
        <v>0</v>
      </c>
      <c r="P13" s="122">
        <f t="shared" si="11"/>
        <v>0</v>
      </c>
      <c r="Q13" s="122">
        <f t="shared" si="4"/>
        <v>0</v>
      </c>
      <c r="R13" s="122">
        <f t="shared" si="5"/>
        <v>0</v>
      </c>
      <c r="S13" s="122">
        <f t="shared" si="6"/>
        <v>0</v>
      </c>
      <c r="T13" s="122">
        <f t="shared" si="7"/>
        <v>0</v>
      </c>
      <c r="U13" s="122">
        <f t="shared" si="8"/>
        <v>0</v>
      </c>
      <c r="V13" s="30">
        <f t="shared" si="9"/>
        <v>0</v>
      </c>
      <c r="W13" s="30">
        <f t="shared" si="10"/>
        <v>0</v>
      </c>
      <c r="X13" s="30">
        <f t="shared" si="12"/>
        <v>0</v>
      </c>
      <c r="Y13" s="30">
        <f t="shared" si="12"/>
        <v>0</v>
      </c>
      <c r="Z13" s="2"/>
      <c r="AA13" s="3"/>
    </row>
    <row r="14" spans="1:27" ht="54.95" customHeight="1">
      <c r="A14" s="209">
        <v>11</v>
      </c>
      <c r="B14" s="250" t="s">
        <v>344</v>
      </c>
      <c r="C14" s="271">
        <v>2.5</v>
      </c>
      <c r="D14" s="272">
        <v>0</v>
      </c>
      <c r="E14" s="272">
        <v>1</v>
      </c>
      <c r="F14" s="272">
        <v>0</v>
      </c>
      <c r="G14" s="272">
        <v>1</v>
      </c>
      <c r="H14" s="272">
        <v>5</v>
      </c>
      <c r="I14" s="272">
        <v>3</v>
      </c>
      <c r="J14" s="237">
        <v>0</v>
      </c>
      <c r="K14" s="237">
        <v>0</v>
      </c>
      <c r="L14" s="246">
        <f t="shared" si="0"/>
        <v>0</v>
      </c>
      <c r="M14" s="247">
        <f t="shared" si="1"/>
        <v>0</v>
      </c>
      <c r="N14" s="122">
        <f t="shared" si="2"/>
        <v>0</v>
      </c>
      <c r="O14" s="122">
        <f t="shared" si="3"/>
        <v>0</v>
      </c>
      <c r="P14" s="122">
        <f t="shared" si="11"/>
        <v>0</v>
      </c>
      <c r="Q14" s="122">
        <f t="shared" si="4"/>
        <v>0</v>
      </c>
      <c r="R14" s="122">
        <f t="shared" si="5"/>
        <v>0</v>
      </c>
      <c r="S14" s="122">
        <f t="shared" si="6"/>
        <v>0</v>
      </c>
      <c r="T14" s="122">
        <f t="shared" si="7"/>
        <v>0</v>
      </c>
      <c r="U14" s="122">
        <f t="shared" si="8"/>
        <v>0</v>
      </c>
      <c r="V14" s="30">
        <f t="shared" si="9"/>
        <v>0</v>
      </c>
      <c r="W14" s="30">
        <f t="shared" si="10"/>
        <v>0</v>
      </c>
      <c r="X14" s="30">
        <f t="shared" si="12"/>
        <v>0</v>
      </c>
      <c r="Y14" s="30">
        <f t="shared" si="12"/>
        <v>0</v>
      </c>
      <c r="Z14" s="2"/>
      <c r="AA14" s="3"/>
    </row>
    <row r="15" spans="1:27" ht="54.95" customHeight="1">
      <c r="A15" s="209">
        <v>12</v>
      </c>
      <c r="B15" s="250" t="s">
        <v>345</v>
      </c>
      <c r="C15" s="271">
        <v>1.5</v>
      </c>
      <c r="D15" s="272">
        <v>0</v>
      </c>
      <c r="E15" s="272">
        <v>1</v>
      </c>
      <c r="F15" s="272">
        <v>0</v>
      </c>
      <c r="G15" s="272">
        <v>0</v>
      </c>
      <c r="H15" s="272">
        <v>4</v>
      </c>
      <c r="I15" s="272">
        <v>3</v>
      </c>
      <c r="J15" s="237">
        <v>0</v>
      </c>
      <c r="K15" s="237">
        <v>0</v>
      </c>
      <c r="L15" s="246">
        <f t="shared" si="0"/>
        <v>0</v>
      </c>
      <c r="M15" s="247">
        <f t="shared" si="1"/>
        <v>0</v>
      </c>
      <c r="N15" s="122">
        <f t="shared" si="2"/>
        <v>0</v>
      </c>
      <c r="O15" s="122">
        <f t="shared" si="3"/>
        <v>0</v>
      </c>
      <c r="P15" s="122">
        <f t="shared" si="11"/>
        <v>0</v>
      </c>
      <c r="Q15" s="122">
        <f t="shared" si="4"/>
        <v>0</v>
      </c>
      <c r="R15" s="122">
        <f t="shared" si="5"/>
        <v>0</v>
      </c>
      <c r="S15" s="122">
        <f t="shared" si="6"/>
        <v>0</v>
      </c>
      <c r="T15" s="122">
        <f t="shared" si="7"/>
        <v>0</v>
      </c>
      <c r="U15" s="122">
        <f t="shared" si="8"/>
        <v>0</v>
      </c>
      <c r="V15" s="30">
        <f t="shared" si="9"/>
        <v>0</v>
      </c>
      <c r="W15" s="30">
        <f t="shared" si="10"/>
        <v>0</v>
      </c>
      <c r="X15" s="30">
        <f t="shared" si="12"/>
        <v>0</v>
      </c>
      <c r="Y15" s="30">
        <f t="shared" si="12"/>
        <v>0</v>
      </c>
      <c r="Z15" s="2"/>
      <c r="AA15" s="3"/>
    </row>
    <row r="16" spans="1:27" ht="54.95" customHeight="1">
      <c r="A16" s="209">
        <v>13</v>
      </c>
      <c r="B16" s="250" t="s">
        <v>346</v>
      </c>
      <c r="C16" s="271">
        <v>2</v>
      </c>
      <c r="D16" s="272">
        <v>0</v>
      </c>
      <c r="E16" s="272">
        <v>1</v>
      </c>
      <c r="F16" s="272">
        <v>0</v>
      </c>
      <c r="G16" s="272">
        <v>0</v>
      </c>
      <c r="H16" s="272">
        <v>5</v>
      </c>
      <c r="I16" s="272">
        <v>3</v>
      </c>
      <c r="J16" s="237">
        <v>0</v>
      </c>
      <c r="K16" s="237">
        <v>0</v>
      </c>
      <c r="L16" s="246">
        <f t="shared" si="0"/>
        <v>0</v>
      </c>
      <c r="M16" s="247">
        <f t="shared" si="1"/>
        <v>0</v>
      </c>
      <c r="N16" s="122">
        <f t="shared" si="2"/>
        <v>0</v>
      </c>
      <c r="O16" s="122">
        <f t="shared" si="3"/>
        <v>0</v>
      </c>
      <c r="P16" s="122">
        <f t="shared" si="11"/>
        <v>0</v>
      </c>
      <c r="Q16" s="122">
        <f t="shared" si="4"/>
        <v>0</v>
      </c>
      <c r="R16" s="122">
        <f t="shared" si="5"/>
        <v>0</v>
      </c>
      <c r="S16" s="122">
        <f t="shared" si="6"/>
        <v>0</v>
      </c>
      <c r="T16" s="122">
        <f t="shared" si="7"/>
        <v>0</v>
      </c>
      <c r="U16" s="122">
        <f t="shared" si="8"/>
        <v>0</v>
      </c>
      <c r="V16" s="30">
        <f t="shared" si="9"/>
        <v>0</v>
      </c>
      <c r="W16" s="30">
        <f t="shared" si="10"/>
        <v>0</v>
      </c>
      <c r="X16" s="30">
        <f t="shared" si="12"/>
        <v>0</v>
      </c>
      <c r="Y16" s="30">
        <f t="shared" si="12"/>
        <v>0</v>
      </c>
      <c r="Z16" s="2"/>
      <c r="AA16" s="3"/>
    </row>
    <row r="17" spans="1:27" ht="54.95" customHeight="1">
      <c r="A17" s="209">
        <v>14</v>
      </c>
      <c r="B17" s="250" t="s">
        <v>347</v>
      </c>
      <c r="C17" s="271">
        <v>2.5</v>
      </c>
      <c r="D17" s="272">
        <v>0</v>
      </c>
      <c r="E17" s="272">
        <v>1</v>
      </c>
      <c r="F17" s="272">
        <v>1</v>
      </c>
      <c r="G17" s="272">
        <v>0</v>
      </c>
      <c r="H17" s="272">
        <v>5</v>
      </c>
      <c r="I17" s="272">
        <v>3</v>
      </c>
      <c r="J17" s="237">
        <v>0</v>
      </c>
      <c r="K17" s="237">
        <v>0</v>
      </c>
      <c r="L17" s="246">
        <f t="shared" si="0"/>
        <v>0</v>
      </c>
      <c r="M17" s="247">
        <f t="shared" si="1"/>
        <v>0</v>
      </c>
      <c r="N17" s="122">
        <f t="shared" si="2"/>
        <v>0</v>
      </c>
      <c r="O17" s="122">
        <f t="shared" si="3"/>
        <v>0</v>
      </c>
      <c r="P17" s="122">
        <f t="shared" si="11"/>
        <v>0</v>
      </c>
      <c r="Q17" s="122">
        <f t="shared" si="4"/>
        <v>0</v>
      </c>
      <c r="R17" s="122">
        <f t="shared" si="5"/>
        <v>0</v>
      </c>
      <c r="S17" s="122">
        <f t="shared" si="6"/>
        <v>0</v>
      </c>
      <c r="T17" s="122">
        <f t="shared" si="7"/>
        <v>0</v>
      </c>
      <c r="U17" s="122">
        <f t="shared" si="8"/>
        <v>0</v>
      </c>
      <c r="V17" s="30">
        <f t="shared" si="9"/>
        <v>0</v>
      </c>
      <c r="W17" s="30">
        <f t="shared" si="10"/>
        <v>0</v>
      </c>
      <c r="X17" s="30">
        <f t="shared" si="12"/>
        <v>0</v>
      </c>
      <c r="Y17" s="30">
        <f t="shared" si="12"/>
        <v>0</v>
      </c>
      <c r="Z17" s="2"/>
      <c r="AA17" s="3"/>
    </row>
    <row r="18" spans="1:27" ht="54.95" customHeight="1">
      <c r="A18" s="209">
        <v>15</v>
      </c>
      <c r="B18" s="250" t="s">
        <v>348</v>
      </c>
      <c r="C18" s="271">
        <v>0.5</v>
      </c>
      <c r="D18" s="272">
        <v>0</v>
      </c>
      <c r="E18" s="272">
        <v>1</v>
      </c>
      <c r="F18" s="272">
        <v>0</v>
      </c>
      <c r="G18" s="272">
        <v>0</v>
      </c>
      <c r="H18" s="272">
        <v>1</v>
      </c>
      <c r="I18" s="272">
        <v>2</v>
      </c>
      <c r="J18" s="237">
        <v>0</v>
      </c>
      <c r="K18" s="237">
        <v>0</v>
      </c>
      <c r="L18" s="246">
        <f t="shared" si="0"/>
        <v>0</v>
      </c>
      <c r="M18" s="247">
        <f t="shared" si="1"/>
        <v>0</v>
      </c>
      <c r="N18" s="122">
        <f t="shared" si="2"/>
        <v>0</v>
      </c>
      <c r="O18" s="122">
        <f t="shared" si="3"/>
        <v>0</v>
      </c>
      <c r="P18" s="122">
        <f t="shared" si="11"/>
        <v>0</v>
      </c>
      <c r="Q18" s="122">
        <f t="shared" si="4"/>
        <v>0</v>
      </c>
      <c r="R18" s="122">
        <f t="shared" si="5"/>
        <v>0</v>
      </c>
      <c r="S18" s="122">
        <f t="shared" si="6"/>
        <v>0</v>
      </c>
      <c r="T18" s="122">
        <f t="shared" si="7"/>
        <v>0</v>
      </c>
      <c r="U18" s="122">
        <f t="shared" si="8"/>
        <v>0</v>
      </c>
      <c r="V18" s="30">
        <f t="shared" si="9"/>
        <v>0</v>
      </c>
      <c r="W18" s="30">
        <f t="shared" si="10"/>
        <v>0</v>
      </c>
      <c r="X18" s="30">
        <f t="shared" si="12"/>
        <v>0</v>
      </c>
      <c r="Y18" s="30">
        <f t="shared" si="12"/>
        <v>0</v>
      </c>
      <c r="Z18" s="2"/>
      <c r="AA18" s="3"/>
    </row>
    <row r="19" spans="1:27" ht="54.95" customHeight="1">
      <c r="A19" s="209">
        <v>16</v>
      </c>
      <c r="B19" s="250" t="s">
        <v>349</v>
      </c>
      <c r="C19" s="271">
        <v>2</v>
      </c>
      <c r="D19" s="272">
        <v>0</v>
      </c>
      <c r="E19" s="272">
        <v>1</v>
      </c>
      <c r="F19" s="272">
        <v>0</v>
      </c>
      <c r="G19" s="272">
        <v>0</v>
      </c>
      <c r="H19" s="272">
        <v>3</v>
      </c>
      <c r="I19" s="272">
        <v>4</v>
      </c>
      <c r="J19" s="237">
        <v>0</v>
      </c>
      <c r="K19" s="237">
        <v>0</v>
      </c>
      <c r="L19" s="246">
        <f t="shared" si="0"/>
        <v>0</v>
      </c>
      <c r="M19" s="247">
        <f t="shared" si="1"/>
        <v>0</v>
      </c>
      <c r="N19" s="122">
        <f t="shared" si="2"/>
        <v>0</v>
      </c>
      <c r="O19" s="122">
        <f t="shared" si="3"/>
        <v>0</v>
      </c>
      <c r="P19" s="122">
        <f t="shared" si="11"/>
        <v>0</v>
      </c>
      <c r="Q19" s="122">
        <f t="shared" si="4"/>
        <v>0</v>
      </c>
      <c r="R19" s="122">
        <f t="shared" si="5"/>
        <v>0</v>
      </c>
      <c r="S19" s="122">
        <f t="shared" si="6"/>
        <v>0</v>
      </c>
      <c r="T19" s="122">
        <f t="shared" si="7"/>
        <v>0</v>
      </c>
      <c r="U19" s="122">
        <f t="shared" si="8"/>
        <v>0</v>
      </c>
      <c r="V19" s="30">
        <f t="shared" si="9"/>
        <v>0</v>
      </c>
      <c r="W19" s="30">
        <f t="shared" si="10"/>
        <v>0</v>
      </c>
      <c r="X19" s="30">
        <f t="shared" si="12"/>
        <v>0</v>
      </c>
      <c r="Y19" s="30">
        <f t="shared" si="12"/>
        <v>0</v>
      </c>
      <c r="Z19" s="2"/>
      <c r="AA19" s="3"/>
    </row>
    <row r="20" spans="1:27" s="2" customFormat="1" ht="54.95" customHeight="1">
      <c r="A20" s="209">
        <v>17</v>
      </c>
      <c r="B20" s="250" t="s">
        <v>350</v>
      </c>
      <c r="C20" s="271">
        <v>6.0000000000000001E-3</v>
      </c>
      <c r="D20" s="272">
        <v>0</v>
      </c>
      <c r="E20" s="272">
        <v>0</v>
      </c>
      <c r="F20" s="272">
        <v>0</v>
      </c>
      <c r="G20" s="272">
        <v>1</v>
      </c>
      <c r="H20" s="272">
        <v>1</v>
      </c>
      <c r="I20" s="272">
        <v>4</v>
      </c>
      <c r="J20" s="237">
        <v>0</v>
      </c>
      <c r="K20" s="237">
        <v>0</v>
      </c>
      <c r="L20" s="246">
        <f t="shared" si="0"/>
        <v>0</v>
      </c>
      <c r="M20" s="247">
        <f t="shared" si="1"/>
        <v>0</v>
      </c>
      <c r="N20" s="122">
        <f t="shared" si="2"/>
        <v>0</v>
      </c>
      <c r="O20" s="122">
        <f t="shared" si="3"/>
        <v>0</v>
      </c>
      <c r="P20" s="122">
        <f t="shared" si="11"/>
        <v>0</v>
      </c>
      <c r="Q20" s="122">
        <f t="shared" si="4"/>
        <v>0</v>
      </c>
      <c r="R20" s="122">
        <f t="shared" si="5"/>
        <v>0</v>
      </c>
      <c r="S20" s="122">
        <f t="shared" si="6"/>
        <v>0</v>
      </c>
      <c r="T20" s="122">
        <f t="shared" si="7"/>
        <v>0</v>
      </c>
      <c r="U20" s="122">
        <f t="shared" si="8"/>
        <v>0</v>
      </c>
      <c r="V20" s="30">
        <f t="shared" si="9"/>
        <v>0</v>
      </c>
      <c r="W20" s="30">
        <f t="shared" si="10"/>
        <v>0</v>
      </c>
      <c r="X20" s="30">
        <f t="shared" si="12"/>
        <v>0</v>
      </c>
      <c r="Y20" s="30">
        <f t="shared" si="12"/>
        <v>0</v>
      </c>
    </row>
    <row r="21" spans="1:27" s="2" customFormat="1" ht="54.95" customHeight="1">
      <c r="A21" s="209">
        <v>18</v>
      </c>
      <c r="B21" s="250" t="s">
        <v>351</v>
      </c>
      <c r="C21" s="271">
        <v>8.0000000000000002E-3</v>
      </c>
      <c r="D21" s="272">
        <v>0</v>
      </c>
      <c r="E21" s="272">
        <v>0</v>
      </c>
      <c r="F21" s="272">
        <v>0</v>
      </c>
      <c r="G21" s="272">
        <v>1</v>
      </c>
      <c r="H21" s="272">
        <v>1</v>
      </c>
      <c r="I21" s="272">
        <v>4</v>
      </c>
      <c r="J21" s="237">
        <v>0</v>
      </c>
      <c r="K21" s="237">
        <v>0</v>
      </c>
      <c r="L21" s="246">
        <f t="shared" si="0"/>
        <v>0</v>
      </c>
      <c r="M21" s="247">
        <f t="shared" si="1"/>
        <v>0</v>
      </c>
      <c r="N21" s="122">
        <f t="shared" si="2"/>
        <v>0</v>
      </c>
      <c r="O21" s="122">
        <f t="shared" si="3"/>
        <v>0</v>
      </c>
      <c r="P21" s="122">
        <f t="shared" si="11"/>
        <v>0</v>
      </c>
      <c r="Q21" s="122">
        <f t="shared" si="4"/>
        <v>0</v>
      </c>
      <c r="R21" s="122">
        <f t="shared" si="5"/>
        <v>0</v>
      </c>
      <c r="S21" s="122">
        <f t="shared" si="6"/>
        <v>0</v>
      </c>
      <c r="T21" s="122">
        <f t="shared" si="7"/>
        <v>0</v>
      </c>
      <c r="U21" s="122">
        <f t="shared" si="8"/>
        <v>0</v>
      </c>
      <c r="V21" s="30">
        <f t="shared" si="9"/>
        <v>0</v>
      </c>
      <c r="W21" s="30">
        <f t="shared" si="10"/>
        <v>0</v>
      </c>
      <c r="X21" s="30">
        <f t="shared" si="12"/>
        <v>0</v>
      </c>
      <c r="Y21" s="30">
        <f t="shared" si="12"/>
        <v>0</v>
      </c>
    </row>
    <row r="22" spans="1:27" s="2" customFormat="1" ht="54.95" customHeight="1">
      <c r="A22" s="209">
        <v>19</v>
      </c>
      <c r="B22" s="250" t="s">
        <v>352</v>
      </c>
      <c r="C22" s="271">
        <v>2</v>
      </c>
      <c r="D22" s="272">
        <v>0</v>
      </c>
      <c r="E22" s="272">
        <v>1</v>
      </c>
      <c r="F22" s="272">
        <v>0</v>
      </c>
      <c r="G22" s="272">
        <v>0</v>
      </c>
      <c r="H22" s="272">
        <v>4</v>
      </c>
      <c r="I22" s="272">
        <v>4</v>
      </c>
      <c r="J22" s="237">
        <v>0</v>
      </c>
      <c r="K22" s="237">
        <v>0</v>
      </c>
      <c r="L22" s="246">
        <f t="shared" si="0"/>
        <v>0</v>
      </c>
      <c r="M22" s="247">
        <f t="shared" si="1"/>
        <v>0</v>
      </c>
      <c r="N22" s="122">
        <f t="shared" si="2"/>
        <v>0</v>
      </c>
      <c r="O22" s="122">
        <f t="shared" si="3"/>
        <v>0</v>
      </c>
      <c r="P22" s="122">
        <f t="shared" si="11"/>
        <v>0</v>
      </c>
      <c r="Q22" s="122">
        <f t="shared" si="4"/>
        <v>0</v>
      </c>
      <c r="R22" s="122">
        <f t="shared" si="5"/>
        <v>0</v>
      </c>
      <c r="S22" s="122">
        <f t="shared" si="6"/>
        <v>0</v>
      </c>
      <c r="T22" s="122">
        <f t="shared" si="7"/>
        <v>0</v>
      </c>
      <c r="U22" s="122">
        <f t="shared" si="8"/>
        <v>0</v>
      </c>
      <c r="V22" s="30">
        <f t="shared" si="9"/>
        <v>0</v>
      </c>
      <c r="W22" s="30">
        <f t="shared" si="10"/>
        <v>0</v>
      </c>
      <c r="X22" s="30">
        <f t="shared" si="12"/>
        <v>0</v>
      </c>
      <c r="Y22" s="30">
        <f t="shared" si="12"/>
        <v>0</v>
      </c>
    </row>
    <row r="23" spans="1:27" ht="54.95" customHeight="1">
      <c r="A23" s="209">
        <v>20</v>
      </c>
      <c r="B23" s="250" t="s">
        <v>353</v>
      </c>
      <c r="C23" s="271">
        <v>2</v>
      </c>
      <c r="D23" s="272">
        <v>0</v>
      </c>
      <c r="E23" s="272">
        <v>1</v>
      </c>
      <c r="F23" s="272">
        <v>0</v>
      </c>
      <c r="G23" s="272">
        <v>0</v>
      </c>
      <c r="H23" s="272">
        <v>4</v>
      </c>
      <c r="I23" s="272">
        <v>4</v>
      </c>
      <c r="J23" s="237">
        <v>0</v>
      </c>
      <c r="K23" s="237">
        <v>0</v>
      </c>
      <c r="L23" s="246">
        <f t="shared" si="0"/>
        <v>0</v>
      </c>
      <c r="M23" s="247">
        <f t="shared" si="1"/>
        <v>0</v>
      </c>
      <c r="N23" s="122">
        <f t="shared" si="2"/>
        <v>0</v>
      </c>
      <c r="O23" s="122">
        <f t="shared" si="3"/>
        <v>0</v>
      </c>
      <c r="P23" s="122">
        <f t="shared" si="11"/>
        <v>0</v>
      </c>
      <c r="Q23" s="122">
        <f t="shared" si="4"/>
        <v>0</v>
      </c>
      <c r="R23" s="122">
        <f t="shared" si="5"/>
        <v>0</v>
      </c>
      <c r="S23" s="122">
        <f t="shared" si="6"/>
        <v>0</v>
      </c>
      <c r="T23" s="122">
        <f t="shared" si="7"/>
        <v>0</v>
      </c>
      <c r="U23" s="122">
        <f t="shared" si="8"/>
        <v>0</v>
      </c>
      <c r="V23" s="30">
        <f t="shared" si="9"/>
        <v>0</v>
      </c>
      <c r="W23" s="30">
        <f t="shared" si="10"/>
        <v>0</v>
      </c>
      <c r="X23" s="30">
        <f t="shared" si="12"/>
        <v>0</v>
      </c>
      <c r="Y23" s="30">
        <f t="shared" si="12"/>
        <v>0</v>
      </c>
      <c r="Z23" s="2"/>
      <c r="AA23" s="15"/>
    </row>
    <row r="24" spans="1:27" s="2" customFormat="1" ht="54.95" customHeight="1">
      <c r="A24" s="377" t="s">
        <v>158</v>
      </c>
      <c r="B24" s="377"/>
      <c r="C24" s="378" t="s">
        <v>354</v>
      </c>
      <c r="D24" s="378"/>
      <c r="E24" s="378"/>
      <c r="F24" s="378"/>
      <c r="G24" s="378"/>
      <c r="H24" s="378"/>
      <c r="I24" s="378"/>
      <c r="J24" s="378"/>
      <c r="K24" s="378"/>
      <c r="L24" s="248">
        <f t="shared" ref="L24:Y24" si="13">SUM(L4:L23)</f>
        <v>0</v>
      </c>
      <c r="M24" s="248">
        <f t="shared" si="13"/>
        <v>0</v>
      </c>
      <c r="N24" s="127">
        <f t="shared" si="13"/>
        <v>0</v>
      </c>
      <c r="O24" s="127">
        <f t="shared" si="13"/>
        <v>0</v>
      </c>
      <c r="P24" s="127">
        <f t="shared" si="13"/>
        <v>0</v>
      </c>
      <c r="Q24" s="127">
        <f t="shared" si="13"/>
        <v>0</v>
      </c>
      <c r="R24" s="127">
        <f t="shared" si="13"/>
        <v>0</v>
      </c>
      <c r="S24" s="127">
        <f t="shared" si="13"/>
        <v>0</v>
      </c>
      <c r="T24" s="127">
        <f t="shared" si="13"/>
        <v>0</v>
      </c>
      <c r="U24" s="127">
        <f t="shared" si="13"/>
        <v>0</v>
      </c>
      <c r="V24" s="127">
        <f t="shared" si="13"/>
        <v>0</v>
      </c>
      <c r="W24" s="127">
        <f t="shared" si="13"/>
        <v>0</v>
      </c>
      <c r="X24" s="127">
        <f t="shared" si="13"/>
        <v>0</v>
      </c>
      <c r="Y24" s="127">
        <f t="shared" si="13"/>
        <v>0</v>
      </c>
    </row>
    <row r="25" spans="1:27" s="2" customFormat="1" ht="54.95" customHeight="1">
      <c r="A25" s="379" t="s">
        <v>160</v>
      </c>
      <c r="B25" s="379"/>
      <c r="C25" s="379"/>
      <c r="D25" s="379"/>
      <c r="E25" s="379"/>
      <c r="F25" s="379"/>
      <c r="G25" s="379"/>
      <c r="H25" s="379"/>
      <c r="I25" s="379"/>
      <c r="J25" s="379"/>
      <c r="K25" s="379"/>
      <c r="L25" s="379"/>
      <c r="M25" s="273">
        <v>2</v>
      </c>
      <c r="N25" s="29"/>
      <c r="O25" s="29"/>
      <c r="P25" s="29"/>
      <c r="Q25" s="29"/>
      <c r="R25" s="29"/>
      <c r="S25" s="29"/>
      <c r="T25" s="29"/>
      <c r="U25" s="29"/>
      <c r="V25" s="29"/>
      <c r="W25" s="29"/>
      <c r="X25" s="30"/>
      <c r="Y25" s="30"/>
      <c r="Z25" s="124"/>
    </row>
    <row r="26" spans="1:27" ht="54.95" customHeight="1"/>
    <row r="27" spans="1:27" ht="54.95" customHeight="1"/>
    <row r="28" spans="1:27" ht="54.95" customHeight="1"/>
    <row r="29" spans="1:27" ht="54.95" customHeight="1"/>
    <row r="30" spans="1:27" ht="54.95" customHeight="1"/>
    <row r="31" spans="1:27" ht="54.95" customHeight="1"/>
    <row r="32" spans="1:27" ht="54.95" customHeight="1"/>
    <row r="33" ht="54.95" customHeight="1"/>
    <row r="34" ht="54.95" customHeight="1"/>
    <row r="35" ht="54.95" customHeight="1"/>
    <row r="36" ht="54.95" customHeight="1"/>
    <row r="37" ht="54.95" customHeight="1"/>
    <row r="38" ht="54.95" customHeight="1"/>
    <row r="39" ht="54.95" customHeight="1"/>
    <row r="40" ht="54.95" customHeight="1"/>
    <row r="41" ht="54.95" customHeight="1"/>
    <row r="42" ht="54.95" customHeight="1"/>
    <row r="43" ht="54.95" customHeight="1"/>
    <row r="44" ht="54.95" customHeight="1"/>
    <row r="45" ht="54.95" customHeight="1"/>
    <row r="46" ht="54.95" customHeight="1"/>
    <row r="47" ht="54.95" customHeight="1"/>
    <row r="48" ht="54.95" customHeight="1"/>
    <row r="49" ht="54.95" customHeight="1"/>
    <row r="50" ht="54.95" customHeight="1"/>
    <row r="51" ht="54.95" customHeight="1"/>
    <row r="52" ht="54.95" customHeight="1"/>
    <row r="53" ht="54.95" customHeight="1"/>
    <row r="54" ht="54.95" customHeight="1"/>
    <row r="55" ht="54.95" customHeight="1"/>
    <row r="56" ht="54.95" customHeight="1"/>
    <row r="57" ht="54.95" customHeight="1"/>
    <row r="58" ht="54.95" customHeight="1"/>
    <row r="59" ht="54.95" customHeight="1"/>
    <row r="60" ht="54.95" customHeight="1"/>
    <row r="61" ht="54.95" customHeight="1"/>
    <row r="62" ht="54.95" customHeight="1"/>
    <row r="63" ht="54.95" customHeight="1"/>
    <row r="64" ht="54.95" customHeight="1"/>
    <row r="65" ht="54.95" customHeight="1"/>
    <row r="66" ht="54.95" customHeight="1"/>
    <row r="67" ht="54.95" customHeight="1"/>
    <row r="68" ht="54.95" customHeight="1"/>
    <row r="69" ht="54.95" customHeight="1"/>
    <row r="70" ht="54.95" customHeight="1"/>
    <row r="71" ht="54.95" customHeight="1"/>
    <row r="72" ht="54.95" customHeight="1"/>
    <row r="73" ht="54.95" customHeight="1"/>
    <row r="74" ht="54.95" customHeight="1"/>
    <row r="75" ht="54.95" customHeight="1"/>
    <row r="76" ht="54.95" customHeight="1"/>
    <row r="77" ht="54.95" customHeight="1"/>
    <row r="78" ht="54.95" customHeight="1"/>
    <row r="79" ht="54.95" customHeight="1"/>
    <row r="80" ht="54.95" customHeight="1"/>
    <row r="81" ht="54.95" customHeight="1"/>
    <row r="82" ht="54.95" customHeight="1"/>
    <row r="83" ht="54.95" customHeight="1"/>
    <row r="84" ht="54.95" customHeight="1"/>
    <row r="85" ht="54.95" customHeight="1"/>
    <row r="86" ht="54.95" customHeight="1"/>
    <row r="87" ht="54.95" customHeight="1"/>
    <row r="88" ht="54.95" customHeight="1"/>
    <row r="89" ht="54.95" customHeight="1"/>
    <row r="90" ht="54.95" customHeight="1"/>
    <row r="91" ht="54.95" customHeight="1"/>
    <row r="92" ht="54.95" customHeight="1"/>
    <row r="93" ht="54.95" customHeight="1"/>
    <row r="94" ht="54.95" customHeight="1"/>
    <row r="95" ht="54.95" customHeight="1"/>
    <row r="96" ht="54.95" customHeight="1"/>
    <row r="97" ht="54.95" customHeight="1"/>
    <row r="98" ht="54.95" customHeight="1"/>
    <row r="99" ht="54.95" customHeight="1"/>
    <row r="100" ht="54.95" customHeight="1"/>
    <row r="101" ht="54.95" customHeight="1"/>
    <row r="102" ht="54.95" customHeight="1"/>
    <row r="103" ht="54.95" customHeight="1"/>
    <row r="104" ht="54.95" customHeight="1"/>
    <row r="105" ht="54.95" customHeight="1"/>
    <row r="106" ht="54.95" customHeight="1"/>
    <row r="107" ht="54.95" customHeight="1"/>
    <row r="108" ht="54.95" customHeight="1"/>
    <row r="109" ht="54.95" customHeight="1"/>
    <row r="110" ht="54.95" customHeight="1"/>
    <row r="111" ht="54.95" customHeight="1"/>
    <row r="112" ht="54.95" customHeight="1"/>
    <row r="113" ht="54.95" customHeight="1"/>
    <row r="114" ht="54.95" customHeight="1"/>
    <row r="115" ht="54.95" customHeight="1"/>
    <row r="116" ht="54.95" customHeight="1"/>
    <row r="117" ht="54.95" customHeight="1"/>
    <row r="118" ht="54.95" customHeight="1"/>
    <row r="119" ht="54.95" customHeight="1"/>
    <row r="120" ht="54.95" customHeight="1"/>
    <row r="121" ht="54.95" customHeight="1"/>
    <row r="122" ht="54.95" customHeight="1"/>
    <row r="123" ht="54.95" customHeight="1"/>
    <row r="124" ht="54.95" customHeight="1"/>
    <row r="125" ht="54.95" customHeight="1"/>
    <row r="126" ht="54.95" customHeight="1"/>
    <row r="127" ht="54.95" customHeight="1"/>
    <row r="128" ht="54.95" customHeight="1"/>
    <row r="129" ht="54.95" customHeight="1"/>
    <row r="130" ht="54.95" customHeight="1"/>
    <row r="131" ht="54.95" customHeight="1"/>
    <row r="132" ht="54.95" customHeight="1"/>
    <row r="133" ht="54.95" customHeight="1"/>
    <row r="134" ht="54.95" customHeight="1"/>
    <row r="135" ht="54.95" customHeight="1"/>
    <row r="136" ht="54.95" customHeight="1"/>
    <row r="137" ht="54.95" customHeight="1"/>
    <row r="138" ht="54.95" customHeight="1"/>
    <row r="139" ht="54.95" customHeight="1"/>
    <row r="140" ht="54.95" customHeight="1"/>
    <row r="141" ht="54.95" customHeight="1"/>
    <row r="142" ht="54.95" customHeight="1"/>
    <row r="143" ht="54.95" customHeight="1"/>
    <row r="144" ht="54.95" customHeight="1"/>
    <row r="145" ht="54.95" customHeight="1"/>
    <row r="146" ht="54.95" customHeight="1"/>
    <row r="147" ht="54.95" customHeight="1"/>
    <row r="148" ht="54.95" customHeight="1"/>
    <row r="149" ht="54.95" customHeight="1"/>
    <row r="150" ht="54.95" customHeight="1"/>
    <row r="151" ht="54.95" customHeight="1"/>
    <row r="152" ht="54.95" customHeight="1"/>
    <row r="153" ht="54.95" customHeight="1"/>
    <row r="154" ht="54.95" customHeight="1"/>
    <row r="155" ht="54.95" customHeight="1"/>
    <row r="156" ht="54.95" customHeight="1"/>
    <row r="157" ht="54.95" customHeight="1"/>
    <row r="158" ht="54.95" customHeight="1"/>
    <row r="159" ht="54.95" customHeight="1"/>
    <row r="160" ht="54.95" customHeight="1"/>
    <row r="161" ht="54.95" customHeight="1"/>
    <row r="162" ht="54.95" customHeight="1"/>
    <row r="163" ht="54.95" customHeight="1"/>
    <row r="164" ht="54.95" customHeight="1"/>
    <row r="165" ht="54.95" customHeight="1"/>
    <row r="166" ht="54.95" customHeight="1"/>
    <row r="167" ht="54.95" customHeight="1"/>
    <row r="168" ht="54.95" customHeight="1"/>
    <row r="169" ht="54.95" customHeight="1"/>
    <row r="170" ht="54.95" customHeight="1"/>
    <row r="171" ht="54.95" customHeight="1"/>
    <row r="172" ht="54.95" customHeight="1"/>
    <row r="173" ht="54.95" customHeight="1"/>
    <row r="174" ht="54.95" customHeight="1"/>
    <row r="175" ht="54.95" customHeight="1"/>
    <row r="176" ht="54.95" customHeight="1"/>
    <row r="177" spans="1:26" s="2" customFormat="1" ht="54.95" customHeight="1">
      <c r="A177" s="3"/>
      <c r="B177" s="3"/>
      <c r="C177" s="125"/>
      <c r="D177" s="126"/>
      <c r="E177" s="126"/>
      <c r="F177" s="126"/>
      <c r="G177" s="126"/>
      <c r="H177" s="126"/>
      <c r="I177" s="126"/>
      <c r="J177" s="3"/>
      <c r="K177" s="3"/>
      <c r="L177" s="3"/>
      <c r="N177" s="29"/>
      <c r="O177" s="29"/>
      <c r="P177" s="29"/>
      <c r="Q177" s="29"/>
      <c r="R177" s="29"/>
      <c r="S177" s="29"/>
      <c r="T177" s="29"/>
      <c r="U177" s="29"/>
      <c r="V177" s="29"/>
      <c r="W177" s="29"/>
      <c r="X177" s="30"/>
      <c r="Y177" s="30"/>
      <c r="Z177" s="121"/>
    </row>
    <row r="178" spans="1:26" s="2" customFormat="1" ht="54.95" customHeight="1">
      <c r="A178" s="3"/>
      <c r="B178" s="3"/>
      <c r="C178" s="125"/>
      <c r="D178" s="126"/>
      <c r="E178" s="126"/>
      <c r="F178" s="126"/>
      <c r="G178" s="126"/>
      <c r="H178" s="126"/>
      <c r="I178" s="126"/>
      <c r="J178" s="3"/>
      <c r="K178" s="3"/>
      <c r="L178" s="3"/>
      <c r="N178" s="29"/>
      <c r="O178" s="29"/>
      <c r="P178" s="29"/>
      <c r="Q178" s="29"/>
      <c r="R178" s="29"/>
      <c r="S178" s="29"/>
      <c r="T178" s="29"/>
      <c r="U178" s="29"/>
      <c r="V178" s="29"/>
      <c r="W178" s="29"/>
      <c r="X178" s="30"/>
      <c r="Y178" s="30"/>
      <c r="Z178" s="121"/>
    </row>
    <row r="179" spans="1:26" s="2" customFormat="1" ht="54.95" customHeight="1">
      <c r="A179" s="3"/>
      <c r="B179" s="3"/>
      <c r="C179" s="125"/>
      <c r="D179" s="126"/>
      <c r="E179" s="126"/>
      <c r="F179" s="126"/>
      <c r="G179" s="126"/>
      <c r="H179" s="126"/>
      <c r="I179" s="126"/>
      <c r="J179" s="3"/>
      <c r="K179" s="3"/>
      <c r="L179" s="3"/>
      <c r="N179" s="29"/>
      <c r="O179" s="29"/>
      <c r="P179" s="29"/>
      <c r="Q179" s="29"/>
      <c r="R179" s="29"/>
      <c r="S179" s="29"/>
      <c r="T179" s="29"/>
      <c r="U179" s="29"/>
      <c r="V179" s="29"/>
      <c r="W179" s="29"/>
      <c r="X179" s="30"/>
      <c r="Y179" s="30"/>
      <c r="Z179" s="121"/>
    </row>
    <row r="180" spans="1:26" s="2" customFormat="1" ht="54.95" customHeight="1">
      <c r="A180" s="3"/>
      <c r="B180" s="3"/>
      <c r="C180" s="125"/>
      <c r="D180" s="126"/>
      <c r="E180" s="126"/>
      <c r="F180" s="126"/>
      <c r="G180" s="126"/>
      <c r="H180" s="126"/>
      <c r="I180" s="126"/>
      <c r="J180" s="3"/>
      <c r="K180" s="3"/>
      <c r="L180" s="3"/>
      <c r="N180" s="29"/>
      <c r="O180" s="29"/>
      <c r="P180" s="29"/>
      <c r="Q180" s="29"/>
      <c r="R180" s="29"/>
      <c r="S180" s="29"/>
      <c r="T180" s="29"/>
      <c r="U180" s="29"/>
      <c r="V180" s="29"/>
      <c r="W180" s="29"/>
      <c r="X180" s="30"/>
      <c r="Y180" s="30"/>
      <c r="Z180" s="121"/>
    </row>
    <row r="181" spans="1:26" s="2" customFormat="1" ht="54.95" customHeight="1">
      <c r="A181" s="3"/>
      <c r="B181" s="3"/>
      <c r="C181" s="125"/>
      <c r="D181" s="126"/>
      <c r="E181" s="126"/>
      <c r="F181" s="126"/>
      <c r="G181" s="126"/>
      <c r="H181" s="126"/>
      <c r="I181" s="126"/>
      <c r="J181" s="3"/>
      <c r="K181" s="3"/>
      <c r="L181" s="3"/>
      <c r="N181" s="29"/>
      <c r="O181" s="29"/>
      <c r="P181" s="29"/>
      <c r="Q181" s="29"/>
      <c r="R181" s="29"/>
      <c r="S181" s="29"/>
      <c r="T181" s="29"/>
      <c r="U181" s="29"/>
      <c r="V181" s="29"/>
      <c r="W181" s="29"/>
      <c r="X181" s="30"/>
      <c r="Y181" s="30"/>
      <c r="Z181" s="121"/>
    </row>
    <row r="182" spans="1:26" s="2" customFormat="1" ht="54.95" customHeight="1">
      <c r="A182" s="3"/>
      <c r="B182" s="3"/>
      <c r="C182" s="125"/>
      <c r="D182" s="126"/>
      <c r="E182" s="126"/>
      <c r="F182" s="126"/>
      <c r="G182" s="126"/>
      <c r="H182" s="126"/>
      <c r="I182" s="126"/>
      <c r="J182" s="3"/>
      <c r="K182" s="3"/>
      <c r="L182" s="3"/>
      <c r="N182" s="29"/>
      <c r="O182" s="29"/>
      <c r="P182" s="29"/>
      <c r="Q182" s="29"/>
      <c r="R182" s="29"/>
      <c r="S182" s="29"/>
      <c r="T182" s="29"/>
      <c r="U182" s="29"/>
      <c r="V182" s="29"/>
      <c r="W182" s="29"/>
      <c r="X182" s="30"/>
      <c r="Y182" s="30"/>
      <c r="Z182" s="121"/>
    </row>
    <row r="183" spans="1:26" s="2" customFormat="1" ht="20.100000000000001" customHeight="1">
      <c r="A183" s="3"/>
      <c r="B183" s="3"/>
      <c r="C183" s="125"/>
      <c r="D183" s="126"/>
      <c r="E183" s="126"/>
      <c r="F183" s="126"/>
      <c r="G183" s="126"/>
      <c r="H183" s="126"/>
      <c r="I183" s="126"/>
      <c r="J183" s="3"/>
      <c r="K183" s="3"/>
      <c r="L183" s="3"/>
      <c r="N183" s="29"/>
      <c r="O183" s="29"/>
      <c r="P183" s="29"/>
      <c r="Q183" s="29"/>
      <c r="R183" s="29"/>
      <c r="S183" s="29"/>
      <c r="T183" s="29"/>
      <c r="U183" s="29"/>
      <c r="V183" s="29"/>
      <c r="W183" s="29"/>
      <c r="X183" s="30"/>
      <c r="Y183" s="30"/>
      <c r="Z183" s="121"/>
    </row>
    <row r="184" spans="1:26" s="15" customFormat="1" ht="20.100000000000001" customHeight="1">
      <c r="B184" s="15" t="str">
        <f>A24</f>
        <v>كميت سنجه عملكرد همسان شده :</v>
      </c>
      <c r="C184" s="128" t="s">
        <v>161</v>
      </c>
      <c r="D184" s="129"/>
      <c r="E184" s="129"/>
      <c r="F184" s="129"/>
      <c r="G184" s="129"/>
      <c r="H184" s="129"/>
      <c r="I184" s="129"/>
      <c r="N184" s="29"/>
      <c r="O184" s="29"/>
      <c r="P184" s="29"/>
      <c r="Q184" s="29"/>
      <c r="R184" s="29"/>
      <c r="S184" s="29"/>
      <c r="T184" s="29"/>
      <c r="U184" s="29"/>
      <c r="V184" s="29"/>
      <c r="W184" s="29"/>
      <c r="X184" s="30"/>
      <c r="Y184" s="30"/>
      <c r="Z184" s="30"/>
    </row>
    <row r="185" spans="1:26" s="15" customFormat="1" ht="20.100000000000001" customHeight="1">
      <c r="C185" s="128" t="s">
        <v>355</v>
      </c>
      <c r="D185" s="129"/>
      <c r="E185" s="129"/>
      <c r="F185" s="129"/>
      <c r="G185" s="129"/>
      <c r="H185" s="129"/>
      <c r="I185" s="129"/>
      <c r="N185" s="29"/>
      <c r="O185" s="29"/>
      <c r="P185" s="29"/>
      <c r="Q185" s="29"/>
      <c r="R185" s="29"/>
      <c r="S185" s="29"/>
      <c r="T185" s="29"/>
      <c r="U185" s="29"/>
      <c r="V185" s="29"/>
      <c r="W185" s="29"/>
      <c r="X185" s="30"/>
      <c r="Y185" s="30"/>
      <c r="Z185" s="30"/>
    </row>
    <row r="186" spans="1:26" s="2" customFormat="1" ht="20.100000000000001" customHeight="1">
      <c r="A186" s="3"/>
      <c r="B186" s="3"/>
      <c r="C186" s="125"/>
      <c r="D186" s="126"/>
      <c r="E186" s="126"/>
      <c r="F186" s="126"/>
      <c r="G186" s="126"/>
      <c r="H186" s="126"/>
      <c r="I186" s="126"/>
      <c r="J186" s="3"/>
      <c r="K186" s="3"/>
      <c r="L186" s="3"/>
      <c r="N186" s="29"/>
      <c r="O186" s="29"/>
      <c r="P186" s="29"/>
      <c r="Q186" s="29"/>
      <c r="R186" s="29"/>
      <c r="S186" s="29"/>
      <c r="T186" s="29"/>
      <c r="U186" s="29"/>
      <c r="V186" s="29"/>
      <c r="W186" s="29"/>
      <c r="X186" s="30"/>
      <c r="Y186" s="30"/>
      <c r="Z186" s="121"/>
    </row>
    <row r="187" spans="1:26" s="2" customFormat="1" ht="20.100000000000001" customHeight="1">
      <c r="A187" s="3"/>
      <c r="B187" s="3"/>
      <c r="C187" s="125"/>
      <c r="D187" s="126"/>
      <c r="E187" s="126"/>
      <c r="F187" s="126"/>
      <c r="G187" s="126"/>
      <c r="H187" s="126"/>
      <c r="I187" s="126"/>
      <c r="J187" s="3"/>
      <c r="K187" s="3"/>
      <c r="L187" s="3"/>
      <c r="N187" s="29"/>
      <c r="O187" s="29"/>
      <c r="P187" s="29"/>
      <c r="Q187" s="29"/>
      <c r="R187" s="29"/>
      <c r="S187" s="29"/>
      <c r="T187" s="29"/>
      <c r="U187" s="29"/>
      <c r="V187" s="29"/>
      <c r="W187" s="29"/>
      <c r="X187" s="30"/>
      <c r="Y187" s="30"/>
      <c r="Z187" s="121"/>
    </row>
    <row r="188" spans="1:26" s="2" customFormat="1" ht="20.100000000000001" customHeight="1">
      <c r="A188" s="3"/>
      <c r="B188" s="3"/>
      <c r="C188" s="125"/>
      <c r="D188" s="126"/>
      <c r="E188" s="126"/>
      <c r="F188" s="126"/>
      <c r="G188" s="126"/>
      <c r="H188" s="126"/>
      <c r="I188" s="126"/>
      <c r="J188" s="3"/>
      <c r="K188" s="3"/>
      <c r="L188" s="3"/>
      <c r="N188" s="29"/>
      <c r="O188" s="29"/>
      <c r="P188" s="29"/>
      <c r="Q188" s="29"/>
      <c r="R188" s="29"/>
      <c r="S188" s="29"/>
      <c r="T188" s="29"/>
      <c r="U188" s="29"/>
      <c r="V188" s="29"/>
      <c r="W188" s="29"/>
      <c r="X188" s="30"/>
      <c r="Y188" s="30"/>
      <c r="Z188" s="121"/>
    </row>
    <row r="189" spans="1:26" s="2" customFormat="1" ht="20.100000000000001" customHeight="1">
      <c r="A189" s="3"/>
      <c r="B189" s="3"/>
      <c r="C189" s="125"/>
      <c r="D189" s="126"/>
      <c r="E189" s="126"/>
      <c r="F189" s="126"/>
      <c r="G189" s="126"/>
      <c r="H189" s="126"/>
      <c r="I189" s="126"/>
      <c r="J189" s="3"/>
      <c r="K189" s="3"/>
      <c r="L189" s="3"/>
      <c r="N189" s="29"/>
      <c r="O189" s="29"/>
      <c r="P189" s="29"/>
      <c r="Q189" s="29"/>
      <c r="R189" s="29"/>
      <c r="S189" s="29"/>
      <c r="T189" s="29"/>
      <c r="U189" s="29"/>
      <c r="V189" s="29"/>
      <c r="W189" s="29"/>
      <c r="X189" s="30"/>
      <c r="Y189" s="30"/>
      <c r="Z189" s="121"/>
    </row>
    <row r="190" spans="1:26" s="2" customFormat="1" ht="20.100000000000001" customHeight="1">
      <c r="A190" s="3"/>
      <c r="B190" s="3"/>
      <c r="C190" s="125"/>
      <c r="D190" s="126"/>
      <c r="E190" s="126"/>
      <c r="F190" s="126"/>
      <c r="G190" s="126"/>
      <c r="H190" s="126"/>
      <c r="I190" s="126"/>
      <c r="J190" s="3"/>
      <c r="K190" s="3"/>
      <c r="L190" s="3"/>
      <c r="N190" s="29"/>
      <c r="O190" s="29"/>
      <c r="P190" s="29"/>
      <c r="Q190" s="29"/>
      <c r="R190" s="29"/>
      <c r="S190" s="29"/>
      <c r="T190" s="29"/>
      <c r="U190" s="29"/>
      <c r="V190" s="29"/>
      <c r="W190" s="29"/>
      <c r="X190" s="30"/>
      <c r="Y190" s="30"/>
      <c r="Z190" s="121"/>
    </row>
    <row r="191" spans="1:26" s="2" customFormat="1" ht="20.100000000000001" customHeight="1">
      <c r="A191" s="3"/>
      <c r="B191" s="3"/>
      <c r="C191" s="125"/>
      <c r="D191" s="126"/>
      <c r="E191" s="126"/>
      <c r="F191" s="126"/>
      <c r="G191" s="126"/>
      <c r="H191" s="126"/>
      <c r="I191" s="126"/>
      <c r="J191" s="3"/>
      <c r="K191" s="3"/>
      <c r="L191" s="3"/>
      <c r="N191" s="29"/>
      <c r="O191" s="29"/>
      <c r="P191" s="29"/>
      <c r="Q191" s="29"/>
      <c r="R191" s="29"/>
      <c r="S191" s="29"/>
      <c r="T191" s="29"/>
      <c r="U191" s="29"/>
      <c r="V191" s="29"/>
      <c r="W191" s="29"/>
      <c r="X191" s="30"/>
      <c r="Y191" s="30"/>
      <c r="Z191" s="121"/>
    </row>
    <row r="192" spans="1:26" s="2" customFormat="1" ht="20.100000000000001" customHeight="1">
      <c r="A192" s="3"/>
      <c r="B192" s="3"/>
      <c r="C192" s="125"/>
      <c r="D192" s="126"/>
      <c r="E192" s="126"/>
      <c r="F192" s="126"/>
      <c r="G192" s="126"/>
      <c r="H192" s="126"/>
      <c r="I192" s="126"/>
      <c r="J192" s="3"/>
      <c r="K192" s="3"/>
      <c r="L192" s="3"/>
      <c r="N192" s="29"/>
      <c r="O192" s="29"/>
      <c r="P192" s="29"/>
      <c r="Q192" s="29"/>
      <c r="R192" s="29"/>
      <c r="S192" s="29"/>
      <c r="T192" s="29"/>
      <c r="U192" s="29"/>
      <c r="V192" s="29"/>
      <c r="W192" s="29"/>
      <c r="X192" s="30"/>
      <c r="Y192" s="30"/>
      <c r="Z192" s="121"/>
    </row>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row r="302" ht="20.100000000000001" customHeight="1"/>
    <row r="303" ht="20.100000000000001" customHeight="1"/>
    <row r="304" ht="20.100000000000001" customHeight="1"/>
    <row r="305" ht="20.100000000000001" customHeight="1"/>
    <row r="306" ht="20.100000000000001" customHeight="1"/>
    <row r="307" ht="20.100000000000001" customHeight="1"/>
    <row r="308" ht="20.100000000000001" customHeight="1"/>
    <row r="309" ht="20.100000000000001" customHeight="1"/>
    <row r="310" ht="20.100000000000001" customHeight="1"/>
    <row r="311" ht="20.100000000000001" customHeight="1"/>
    <row r="312" ht="20.100000000000001" customHeight="1"/>
    <row r="313" ht="20.100000000000001" customHeight="1"/>
    <row r="314" ht="20.100000000000001" customHeight="1"/>
    <row r="315" ht="20.100000000000001" customHeight="1"/>
    <row r="316" ht="20.100000000000001" customHeight="1"/>
    <row r="317" ht="20.100000000000001" customHeight="1"/>
    <row r="318" ht="20.100000000000001" customHeight="1"/>
    <row r="319" ht="20.100000000000001" customHeight="1"/>
    <row r="320" ht="20.100000000000001" customHeight="1"/>
    <row r="321" ht="20.100000000000001" customHeight="1"/>
    <row r="322" ht="20.100000000000001" customHeight="1"/>
    <row r="323" ht="20.100000000000001" customHeight="1"/>
    <row r="324" ht="20.100000000000001" customHeight="1"/>
    <row r="325" ht="20.100000000000001" customHeight="1"/>
    <row r="326" ht="20.100000000000001" customHeight="1"/>
    <row r="327" ht="20.100000000000001" customHeight="1"/>
    <row r="328" ht="20.100000000000001" customHeight="1"/>
    <row r="329" ht="20.100000000000001" customHeight="1"/>
    <row r="330" ht="20.100000000000001" customHeight="1"/>
    <row r="331" ht="20.100000000000001" customHeight="1"/>
    <row r="332" ht="20.100000000000001" customHeight="1"/>
    <row r="333" ht="20.100000000000001" customHeight="1"/>
    <row r="334" ht="20.100000000000001" customHeight="1"/>
    <row r="335" ht="20.100000000000001" customHeight="1"/>
    <row r="336" ht="20.100000000000001" customHeight="1"/>
    <row r="337" ht="20.100000000000001" customHeight="1"/>
    <row r="338" ht="20.100000000000001" customHeight="1"/>
    <row r="339" ht="20.100000000000001" customHeight="1"/>
    <row r="340" ht="20.100000000000001" customHeight="1"/>
    <row r="341" ht="20.100000000000001" customHeight="1"/>
    <row r="342" ht="20.100000000000001" customHeight="1"/>
    <row r="343" ht="20.100000000000001" customHeight="1"/>
    <row r="344" ht="20.100000000000001" customHeight="1"/>
    <row r="345" ht="20.100000000000001" customHeight="1"/>
    <row r="346" ht="20.100000000000001" customHeight="1"/>
    <row r="347" ht="20.100000000000001" customHeight="1"/>
    <row r="348" ht="20.100000000000001" customHeight="1"/>
    <row r="349" ht="20.100000000000001" customHeight="1"/>
    <row r="350" ht="20.100000000000001" customHeight="1"/>
    <row r="351" ht="20.100000000000001" customHeight="1"/>
    <row r="352" ht="20.100000000000001" customHeight="1"/>
    <row r="353" ht="20.100000000000001" customHeight="1"/>
    <row r="354" ht="20.100000000000001" customHeight="1"/>
    <row r="355" ht="20.100000000000001" customHeight="1"/>
    <row r="356" ht="20.100000000000001" customHeight="1"/>
    <row r="357" ht="20.100000000000001" customHeight="1"/>
    <row r="358" ht="20.100000000000001" customHeight="1"/>
    <row r="359" ht="20.100000000000001" customHeight="1"/>
    <row r="360" ht="20.100000000000001" customHeight="1"/>
    <row r="361" ht="20.100000000000001" customHeight="1"/>
    <row r="362" ht="20.100000000000001" customHeight="1"/>
    <row r="363" ht="20.100000000000001" customHeight="1"/>
    <row r="364" ht="20.100000000000001" customHeight="1"/>
    <row r="365" ht="20.100000000000001" customHeight="1"/>
    <row r="366" ht="20.100000000000001" customHeight="1"/>
    <row r="367" ht="20.100000000000001" customHeight="1"/>
    <row r="368" ht="20.100000000000001" customHeight="1"/>
    <row r="369" ht="20.100000000000001" customHeight="1"/>
    <row r="370" ht="20.100000000000001" customHeight="1"/>
    <row r="371" ht="20.100000000000001" customHeight="1"/>
    <row r="372" ht="20.100000000000001" customHeight="1"/>
    <row r="373" ht="20.100000000000001" customHeight="1"/>
    <row r="374" ht="20.100000000000001" customHeight="1"/>
    <row r="375" ht="20.100000000000001" customHeight="1"/>
    <row r="376" ht="20.100000000000001" customHeight="1"/>
    <row r="377" ht="20.100000000000001" customHeight="1"/>
    <row r="378" ht="20.100000000000001" customHeight="1"/>
    <row r="379" ht="20.100000000000001" customHeight="1"/>
    <row r="380" ht="20.100000000000001" customHeight="1"/>
    <row r="381" ht="20.100000000000001" customHeight="1"/>
    <row r="382" ht="20.100000000000001" customHeight="1"/>
    <row r="383" ht="20.100000000000001" customHeight="1"/>
    <row r="384" ht="20.100000000000001" customHeight="1"/>
    <row r="385" ht="20.100000000000001" customHeight="1"/>
    <row r="386" ht="20.100000000000001" customHeight="1"/>
    <row r="387" ht="20.100000000000001" customHeight="1"/>
    <row r="388" ht="20.100000000000001" customHeight="1"/>
    <row r="389" ht="20.100000000000001" customHeight="1"/>
    <row r="390" ht="20.100000000000001" customHeight="1"/>
    <row r="391" ht="20.100000000000001" customHeight="1"/>
    <row r="392" ht="20.100000000000001" customHeight="1"/>
    <row r="393" ht="20.100000000000001" customHeight="1"/>
    <row r="394" ht="20.100000000000001" customHeight="1"/>
    <row r="395" ht="20.100000000000001" customHeight="1"/>
    <row r="396" ht="20.100000000000001" customHeight="1"/>
    <row r="397" ht="20.100000000000001" customHeight="1"/>
    <row r="398" ht="20.100000000000001" customHeight="1"/>
    <row r="399" ht="20.100000000000001" customHeight="1"/>
    <row r="400" ht="20.100000000000001" customHeight="1"/>
    <row r="401" ht="20.100000000000001" customHeight="1"/>
    <row r="402" ht="20.100000000000001" customHeight="1"/>
    <row r="403" ht="20.100000000000001" customHeight="1"/>
    <row r="404" ht="20.100000000000001" customHeight="1"/>
    <row r="405" ht="20.100000000000001" customHeight="1"/>
    <row r="406" ht="20.100000000000001" customHeight="1"/>
    <row r="407" ht="20.100000000000001" customHeight="1"/>
    <row r="408" ht="20.100000000000001" customHeight="1"/>
    <row r="409" ht="20.100000000000001" customHeight="1"/>
    <row r="410" ht="20.100000000000001" customHeight="1"/>
    <row r="411" ht="20.100000000000001" customHeight="1"/>
    <row r="412" ht="20.100000000000001" customHeight="1"/>
    <row r="413" ht="20.100000000000001" customHeight="1"/>
    <row r="414" ht="20.100000000000001" customHeight="1"/>
    <row r="415" ht="20.100000000000001" customHeight="1"/>
    <row r="416" ht="20.100000000000001" customHeight="1"/>
    <row r="417" ht="20.100000000000001" customHeight="1"/>
    <row r="418" ht="20.100000000000001" customHeight="1"/>
    <row r="419" ht="20.100000000000001" customHeight="1"/>
    <row r="420" ht="20.100000000000001" customHeight="1"/>
    <row r="421" ht="20.100000000000001" customHeight="1"/>
    <row r="422" ht="20.100000000000001" customHeight="1"/>
    <row r="423" ht="20.100000000000001" customHeight="1"/>
    <row r="424" ht="20.100000000000001" customHeight="1"/>
    <row r="425" ht="20.100000000000001" customHeight="1"/>
    <row r="426" ht="20.100000000000001" customHeight="1"/>
    <row r="427" ht="20.100000000000001" customHeight="1"/>
    <row r="428" ht="20.100000000000001" customHeight="1"/>
    <row r="429" ht="20.100000000000001" customHeight="1"/>
    <row r="430" ht="20.100000000000001" customHeight="1"/>
    <row r="431" ht="20.100000000000001" customHeight="1"/>
    <row r="432" ht="20.100000000000001" customHeight="1"/>
    <row r="433" ht="20.100000000000001" customHeight="1"/>
    <row r="434" ht="20.100000000000001" customHeight="1"/>
    <row r="435" ht="20.100000000000001" customHeight="1"/>
    <row r="436" ht="20.100000000000001" customHeight="1"/>
    <row r="437" ht="20.100000000000001" customHeight="1"/>
    <row r="438" ht="20.100000000000001" customHeight="1"/>
    <row r="439" ht="20.100000000000001" customHeight="1"/>
    <row r="440" ht="20.100000000000001" customHeight="1"/>
    <row r="441" ht="20.100000000000001" customHeight="1"/>
    <row r="442" ht="20.100000000000001" customHeight="1"/>
    <row r="443" ht="20.100000000000001" customHeight="1"/>
    <row r="444" ht="20.100000000000001" customHeight="1"/>
    <row r="445" ht="20.100000000000001" customHeight="1"/>
    <row r="446" ht="20.100000000000001" customHeight="1"/>
    <row r="447" ht="20.100000000000001" customHeight="1"/>
    <row r="448" ht="20.100000000000001" customHeight="1"/>
    <row r="449" ht="20.100000000000001" customHeight="1"/>
    <row r="450" ht="20.100000000000001" customHeight="1"/>
    <row r="451" ht="20.100000000000001" customHeight="1"/>
    <row r="452" ht="20.100000000000001" customHeight="1"/>
    <row r="453" ht="20.100000000000001" customHeight="1"/>
    <row r="454" ht="20.100000000000001" customHeight="1"/>
    <row r="455" ht="20.100000000000001" customHeight="1"/>
    <row r="456" ht="20.100000000000001" customHeight="1"/>
    <row r="457" ht="20.100000000000001" customHeight="1"/>
    <row r="458" ht="20.100000000000001" customHeight="1"/>
    <row r="459" ht="20.100000000000001" customHeight="1"/>
    <row r="460" ht="20.100000000000001" customHeight="1"/>
    <row r="461" ht="20.100000000000001" customHeight="1"/>
    <row r="462" ht="20.100000000000001" customHeight="1"/>
    <row r="463" ht="20.100000000000001" customHeight="1"/>
    <row r="464" ht="20.100000000000001" customHeight="1"/>
    <row r="465" ht="20.100000000000001" customHeight="1"/>
    <row r="466" ht="20.100000000000001" customHeight="1"/>
    <row r="467" ht="20.100000000000001" customHeight="1"/>
    <row r="468" ht="20.100000000000001" customHeight="1"/>
    <row r="469" ht="20.100000000000001" customHeight="1"/>
    <row r="470" ht="20.100000000000001" customHeight="1"/>
    <row r="471" ht="20.100000000000001" customHeight="1"/>
    <row r="472" ht="20.100000000000001" customHeight="1"/>
    <row r="473" ht="20.100000000000001" customHeight="1"/>
    <row r="474" ht="20.100000000000001" customHeight="1"/>
    <row r="475" ht="20.100000000000001" customHeight="1"/>
    <row r="476" ht="20.100000000000001" customHeight="1"/>
    <row r="477" ht="20.100000000000001" customHeight="1"/>
    <row r="478" ht="20.100000000000001" customHeight="1"/>
    <row r="479" ht="20.100000000000001" customHeight="1"/>
    <row r="480" ht="20.100000000000001" customHeight="1"/>
    <row r="481" ht="20.100000000000001" customHeight="1"/>
    <row r="482" ht="20.100000000000001" customHeight="1"/>
    <row r="483" ht="20.100000000000001" customHeight="1"/>
    <row r="484" ht="20.100000000000001" customHeight="1"/>
    <row r="485" ht="20.100000000000001" customHeight="1"/>
    <row r="486" ht="20.100000000000001" customHeight="1"/>
    <row r="487" ht="20.100000000000001" customHeight="1"/>
    <row r="488" ht="20.100000000000001" customHeight="1"/>
    <row r="489" ht="20.100000000000001" customHeight="1"/>
    <row r="490" ht="20.100000000000001" customHeight="1"/>
    <row r="491" ht="20.100000000000001" customHeight="1"/>
    <row r="492" ht="20.100000000000001" customHeight="1"/>
    <row r="493" ht="20.100000000000001" customHeight="1"/>
    <row r="494" ht="20.100000000000001" customHeight="1"/>
    <row r="495" ht="20.100000000000001" customHeight="1"/>
    <row r="496" ht="20.100000000000001" customHeight="1"/>
    <row r="497" ht="20.100000000000001" customHeight="1"/>
    <row r="498" ht="20.100000000000001" customHeight="1"/>
    <row r="499" ht="20.100000000000001" customHeight="1"/>
    <row r="500" ht="20.100000000000001" customHeight="1"/>
    <row r="501" ht="20.100000000000001" customHeight="1"/>
    <row r="502" ht="20.100000000000001" customHeight="1"/>
    <row r="503" ht="20.100000000000001" customHeight="1"/>
    <row r="504" ht="20.100000000000001" customHeight="1"/>
    <row r="505" ht="20.100000000000001" customHeight="1"/>
    <row r="506" ht="20.100000000000001" customHeight="1"/>
    <row r="507" ht="20.100000000000001" customHeight="1"/>
    <row r="508" ht="20.100000000000001" customHeight="1"/>
    <row r="509" ht="20.100000000000001" customHeight="1"/>
    <row r="510" ht="20.100000000000001" customHeight="1"/>
    <row r="511" ht="20.100000000000001" customHeight="1"/>
    <row r="512" ht="20.100000000000001" customHeight="1"/>
    <row r="513" ht="20.100000000000001" customHeight="1"/>
    <row r="514" ht="20.100000000000001" customHeight="1"/>
    <row r="515" ht="20.100000000000001" customHeight="1"/>
    <row r="516" ht="20.100000000000001" customHeight="1"/>
    <row r="517" ht="20.100000000000001" customHeight="1"/>
    <row r="518" ht="20.100000000000001" customHeight="1"/>
    <row r="519" ht="20.100000000000001" customHeight="1"/>
    <row r="520" ht="20.100000000000001" customHeight="1"/>
    <row r="521" ht="20.100000000000001" customHeight="1"/>
    <row r="522" ht="20.100000000000001" customHeight="1"/>
    <row r="523" ht="20.100000000000001" customHeight="1"/>
    <row r="524" ht="20.100000000000001" customHeight="1"/>
    <row r="525" ht="20.100000000000001" customHeight="1"/>
    <row r="526" ht="20.100000000000001" customHeight="1"/>
    <row r="527" ht="20.100000000000001" customHeight="1"/>
    <row r="528" ht="20.100000000000001" customHeight="1"/>
    <row r="529" ht="20.100000000000001" customHeight="1"/>
    <row r="530" ht="20.100000000000001" customHeight="1"/>
    <row r="531" ht="20.100000000000001" customHeight="1"/>
    <row r="532" ht="20.100000000000001" customHeight="1"/>
    <row r="533" ht="20.100000000000001" customHeight="1"/>
    <row r="534" ht="20.100000000000001" customHeight="1"/>
    <row r="535" ht="20.100000000000001" customHeight="1"/>
    <row r="536" ht="20.100000000000001" customHeight="1"/>
    <row r="537" ht="20.100000000000001" customHeight="1"/>
    <row r="538" ht="20.100000000000001" customHeight="1"/>
    <row r="539" ht="20.100000000000001" customHeight="1"/>
    <row r="540" ht="20.100000000000001" customHeight="1"/>
    <row r="541" ht="20.100000000000001" customHeight="1"/>
    <row r="542" ht="20.100000000000001" customHeight="1"/>
    <row r="543" ht="20.100000000000001" customHeight="1"/>
    <row r="544" ht="20.100000000000001" customHeight="1"/>
    <row r="545" ht="20.100000000000001" customHeight="1"/>
    <row r="546" ht="20.100000000000001" customHeight="1"/>
    <row r="547" ht="20.100000000000001" customHeight="1"/>
    <row r="548" ht="20.100000000000001" customHeight="1"/>
    <row r="549" ht="20.100000000000001" customHeight="1"/>
    <row r="550" ht="20.100000000000001" customHeight="1"/>
    <row r="551" ht="20.100000000000001" customHeight="1"/>
    <row r="552" ht="20.100000000000001" customHeight="1"/>
    <row r="553" ht="20.100000000000001" customHeight="1"/>
    <row r="554" ht="20.100000000000001" customHeight="1"/>
    <row r="555" ht="20.100000000000001" customHeight="1"/>
    <row r="556" ht="20.100000000000001" customHeight="1"/>
    <row r="557" ht="20.100000000000001" customHeight="1"/>
    <row r="558" ht="20.100000000000001" customHeight="1"/>
    <row r="559" ht="20.100000000000001" customHeight="1"/>
    <row r="560" ht="20.100000000000001" customHeight="1"/>
    <row r="561" ht="20.100000000000001" customHeight="1"/>
    <row r="562" ht="20.100000000000001" customHeight="1"/>
    <row r="563" ht="20.100000000000001" customHeight="1"/>
    <row r="564" ht="20.100000000000001" customHeight="1"/>
    <row r="565" ht="20.100000000000001" customHeight="1"/>
    <row r="566" ht="20.100000000000001" customHeight="1"/>
    <row r="567" ht="20.100000000000001" customHeight="1"/>
    <row r="568" ht="20.100000000000001" customHeight="1"/>
    <row r="569" ht="20.100000000000001" customHeight="1"/>
    <row r="570" ht="20.100000000000001" customHeight="1"/>
    <row r="571" ht="20.100000000000001" customHeight="1"/>
    <row r="572" ht="20.100000000000001" customHeight="1"/>
    <row r="573" ht="20.100000000000001" customHeight="1"/>
    <row r="574" ht="20.100000000000001" customHeight="1"/>
    <row r="575" ht="20.100000000000001" customHeight="1"/>
    <row r="576" ht="20.100000000000001" customHeight="1"/>
    <row r="577" ht="20.100000000000001" customHeight="1"/>
    <row r="578" ht="20.100000000000001" customHeight="1"/>
    <row r="579" ht="20.100000000000001" customHeight="1"/>
    <row r="580" ht="20.100000000000001" customHeight="1"/>
    <row r="581" ht="20.100000000000001" customHeight="1"/>
    <row r="582" ht="20.100000000000001" customHeight="1"/>
    <row r="583" ht="20.100000000000001" customHeight="1"/>
    <row r="584" ht="20.100000000000001" customHeight="1"/>
    <row r="585" ht="20.100000000000001" customHeight="1"/>
  </sheetData>
  <mergeCells count="13">
    <mergeCell ref="A24:B24"/>
    <mergeCell ref="C24:K24"/>
    <mergeCell ref="A25:L25"/>
    <mergeCell ref="A1:M1"/>
    <mergeCell ref="B2:B3"/>
    <mergeCell ref="C2:C3"/>
    <mergeCell ref="D2:G2"/>
    <mergeCell ref="H2:H3"/>
    <mergeCell ref="I2:I3"/>
    <mergeCell ref="J2:J3"/>
    <mergeCell ref="K2:K3"/>
    <mergeCell ref="L2:L3"/>
    <mergeCell ref="M2:M3"/>
  </mergeCells>
  <pageMargins left="0.7" right="0.7" top="0.75" bottom="0.75" header="0.3" footer="0.3"/>
  <pageSetup paperSize="9" scale="62" orientation="portrait" r:id="rId1"/>
  <drawing r:id="rId2"/>
  <legacyDrawing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rightToLeft="1" workbookViewId="0">
      <selection sqref="A1:C1"/>
    </sheetView>
  </sheetViews>
  <sheetFormatPr defaultRowHeight="27"/>
  <cols>
    <col min="1" max="1" width="18.33203125" style="60" customWidth="1"/>
    <col min="2" max="2" width="126.6640625" style="60" customWidth="1"/>
    <col min="3" max="3" width="18.33203125" style="60" customWidth="1"/>
    <col min="4" max="16384" width="9.33203125" style="60"/>
  </cols>
  <sheetData>
    <row r="1" spans="1:3" ht="59.25" customHeight="1">
      <c r="A1" s="387" t="s">
        <v>618</v>
      </c>
      <c r="B1" s="387"/>
      <c r="C1" s="387"/>
    </row>
    <row r="2" spans="1:3" s="62" customFormat="1" ht="30" customHeight="1">
      <c r="A2" s="388"/>
      <c r="B2" s="61" t="str">
        <f>'[23]سیاست ها و برنامه ها '!B1:I1</f>
        <v xml:space="preserve"> اهداف کلی 2: تامین بهداشت و تضمين كيفيت فراورده های خام دامی، خوراک دام، دارو و فراورده هاي بيولوژيك </v>
      </c>
      <c r="C2" s="389"/>
    </row>
    <row r="3" spans="1:3" s="62" customFormat="1" ht="30" customHeight="1">
      <c r="A3" s="388"/>
      <c r="B3" s="63" t="str">
        <f>'[23]سیاست ها و برنامه ها '!B2:I2</f>
        <v xml:space="preserve"> راهبرد 6-2: ارتقاء شاخص های سلامت و بهداشت فراورده های خام دامی و خوراک دام</v>
      </c>
      <c r="C3" s="389"/>
    </row>
    <row r="4" spans="1:3" s="62" customFormat="1" ht="90.75" customHeight="1">
      <c r="A4" s="388"/>
      <c r="B4" s="64" t="str">
        <f>CONCATENATE([23]روکش!A1," ",[23]روکش!B1)</f>
        <v xml:space="preserve"> عنوان هدف کمی: افزایش سطح پایش و کنترل سموم (کلره، فسفره) و فلزات سنگین (سرب، کادمیوم، جیوه، آرسنیک) در فراورده های دامی (دام، طیور، آبزیان) و خوراک دام در حد مجاز، افزایش سطح پایش و کنترل باقیمانده های دارویی (آنتی بیوتیک ها، هورمون ها) در فراورده های دامی (دام، طیور، آبزیان) و خوراک دام در حد مجاز، افزایش سطح پایش و کنترل آفلاتوکسین ها در فراورده های دامی (دام، طیور، آبزیان) و خوراک دام در حد مجاز</v>
      </c>
      <c r="C4" s="389"/>
    </row>
    <row r="5" spans="1:3" s="62" customFormat="1" ht="30" customHeight="1">
      <c r="A5" s="388"/>
      <c r="B5" s="64" t="str">
        <f>CONCATENATE([23]روکش!A2,"  ",[23]روکش!B2,"     ",[23]روکش!C2,"  ",[23]روکش!D2)</f>
        <v>عنوان سنجه عملکرد:  بازدید/نمونه برداری      شاخص سنجه:  2</v>
      </c>
      <c r="C5" s="389"/>
    </row>
    <row r="6" spans="1:3" s="62" customFormat="1" ht="30" customHeight="1">
      <c r="A6" s="388"/>
      <c r="B6" s="64" t="s">
        <v>559</v>
      </c>
      <c r="C6" s="389"/>
    </row>
    <row r="7" spans="1:3" s="62" customFormat="1" ht="30" customHeight="1">
      <c r="A7" s="388"/>
      <c r="B7" s="64" t="s">
        <v>583</v>
      </c>
      <c r="C7" s="389"/>
    </row>
    <row r="8" spans="1:3" ht="30" customHeight="1">
      <c r="A8" s="388"/>
      <c r="B8" s="65" t="s">
        <v>584</v>
      </c>
      <c r="C8" s="389"/>
    </row>
    <row r="9" spans="1:3" s="66" customFormat="1" ht="30" customHeight="1">
      <c r="A9" s="388"/>
      <c r="B9" s="63" t="s">
        <v>585</v>
      </c>
      <c r="C9" s="389"/>
    </row>
    <row r="10" spans="1:3" s="68" customFormat="1" ht="30" customHeight="1">
      <c r="A10" s="388"/>
      <c r="B10" s="67" t="s">
        <v>586</v>
      </c>
      <c r="C10" s="389"/>
    </row>
    <row r="11" spans="1:3" s="68" customFormat="1" ht="30" customHeight="1">
      <c r="A11" s="388"/>
      <c r="B11" s="67" t="s">
        <v>587</v>
      </c>
      <c r="C11" s="389"/>
    </row>
    <row r="12" spans="1:3" s="68" customFormat="1" ht="30" customHeight="1">
      <c r="A12" s="388"/>
      <c r="B12" s="67" t="s">
        <v>352</v>
      </c>
      <c r="C12" s="389"/>
    </row>
    <row r="13" spans="1:3" s="68" customFormat="1" ht="30" customHeight="1">
      <c r="A13" s="388"/>
      <c r="B13" s="144" t="s">
        <v>353</v>
      </c>
      <c r="C13" s="389"/>
    </row>
    <row r="14" spans="1:3" ht="60.75" customHeight="1">
      <c r="A14" s="390"/>
      <c r="B14" s="390"/>
      <c r="C14" s="390"/>
    </row>
    <row r="15" spans="1:3" ht="22.5" customHeight="1"/>
    <row r="16" spans="1:3" ht="22.5" customHeight="1"/>
  </sheetData>
  <dataConsolidate/>
  <mergeCells count="4">
    <mergeCell ref="A1:C1"/>
    <mergeCell ref="A2:A13"/>
    <mergeCell ref="C2:C13"/>
    <mergeCell ref="A14:C14"/>
  </mergeCell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rightToLeft="1" topLeftCell="B1" workbookViewId="0">
      <pane xSplit="7" topLeftCell="I1" activePane="topRight" state="frozen"/>
      <selection activeCell="B1" sqref="B1"/>
      <selection pane="topRight" activeCell="J3" sqref="J3"/>
    </sheetView>
  </sheetViews>
  <sheetFormatPr defaultRowHeight="54.95" customHeight="1"/>
  <cols>
    <col min="1" max="1" width="4.33203125" style="147" customWidth="1"/>
    <col min="2" max="2" width="8.83203125" style="147" customWidth="1"/>
    <col min="3" max="3" width="10.1640625" style="147" customWidth="1"/>
    <col min="4" max="4" width="47.6640625" style="147" customWidth="1"/>
    <col min="5" max="6" width="26.5" style="147" customWidth="1"/>
    <col min="7" max="7" width="32.6640625" style="147" customWidth="1"/>
    <col min="8" max="8" width="12.5" style="147" customWidth="1"/>
    <col min="9" max="16384" width="9.33203125" style="147"/>
  </cols>
  <sheetData>
    <row r="1" spans="1:8" s="163" customFormat="1" ht="30" customHeight="1" thickTop="1">
      <c r="A1" s="164"/>
      <c r="B1" s="458" t="s">
        <v>984</v>
      </c>
      <c r="C1" s="458"/>
      <c r="D1" s="458"/>
      <c r="E1" s="458"/>
      <c r="F1" s="458"/>
      <c r="G1" s="458"/>
      <c r="H1" s="459"/>
    </row>
    <row r="2" spans="1:8" s="163" customFormat="1" ht="30" customHeight="1">
      <c r="A2" s="165"/>
      <c r="B2" s="405" t="s">
        <v>985</v>
      </c>
      <c r="C2" s="405"/>
      <c r="D2" s="405"/>
      <c r="E2" s="405"/>
      <c r="F2" s="405"/>
      <c r="G2" s="405"/>
      <c r="H2" s="460"/>
    </row>
    <row r="3" spans="1:8" s="167" customFormat="1" ht="95.25" customHeight="1">
      <c r="A3" s="166"/>
      <c r="B3" s="405" t="s">
        <v>1408</v>
      </c>
      <c r="C3" s="405"/>
      <c r="D3" s="405"/>
      <c r="E3" s="405"/>
      <c r="F3" s="405"/>
      <c r="G3" s="405"/>
      <c r="H3" s="460"/>
    </row>
    <row r="4" spans="1:8" s="163" customFormat="1" ht="30" customHeight="1">
      <c r="A4" s="165"/>
      <c r="B4" s="405" t="s">
        <v>737</v>
      </c>
      <c r="C4" s="405"/>
      <c r="D4" s="405"/>
      <c r="E4" s="405"/>
      <c r="F4" s="405"/>
      <c r="G4" s="405"/>
      <c r="H4" s="460"/>
    </row>
    <row r="5" spans="1:8" s="146" customFormat="1" ht="38.1" customHeight="1">
      <c r="A5" s="311"/>
      <c r="B5" s="404" t="s">
        <v>986</v>
      </c>
      <c r="C5" s="404"/>
      <c r="D5" s="404"/>
      <c r="E5" s="404"/>
      <c r="F5" s="404"/>
      <c r="G5" s="404"/>
      <c r="H5" s="457"/>
    </row>
    <row r="6" spans="1:8" s="146" customFormat="1" ht="38.1" customHeight="1">
      <c r="A6" s="311"/>
      <c r="B6" s="404" t="s">
        <v>987</v>
      </c>
      <c r="C6" s="404"/>
      <c r="D6" s="404"/>
      <c r="E6" s="404"/>
      <c r="F6" s="404"/>
      <c r="G6" s="404"/>
      <c r="H6" s="457"/>
    </row>
    <row r="7" spans="1:8" s="146" customFormat="1" ht="38.1" customHeight="1">
      <c r="A7" s="311"/>
      <c r="B7" s="404" t="s">
        <v>988</v>
      </c>
      <c r="C7" s="404"/>
      <c r="D7" s="404"/>
      <c r="E7" s="404"/>
      <c r="F7" s="404"/>
      <c r="G7" s="404"/>
      <c r="H7" s="457"/>
    </row>
    <row r="8" spans="1:8" s="146" customFormat="1" ht="38.1" customHeight="1">
      <c r="A8" s="311"/>
      <c r="B8" s="404" t="s">
        <v>989</v>
      </c>
      <c r="C8" s="404"/>
      <c r="D8" s="404"/>
      <c r="E8" s="404"/>
      <c r="F8" s="404"/>
      <c r="G8" s="404"/>
      <c r="H8" s="457"/>
    </row>
    <row r="9" spans="1:8" s="146" customFormat="1" ht="38.1" customHeight="1">
      <c r="A9" s="311"/>
      <c r="B9" s="404" t="s">
        <v>990</v>
      </c>
      <c r="C9" s="404"/>
      <c r="D9" s="404"/>
      <c r="E9" s="404"/>
      <c r="F9" s="404"/>
      <c r="G9" s="404"/>
      <c r="H9" s="457"/>
    </row>
    <row r="10" spans="1:8" s="313" customFormat="1" ht="38.1" customHeight="1">
      <c r="A10" s="312"/>
      <c r="B10" s="404" t="s">
        <v>991</v>
      </c>
      <c r="C10" s="404"/>
      <c r="D10" s="404"/>
      <c r="E10" s="404"/>
      <c r="F10" s="404"/>
      <c r="G10" s="404"/>
      <c r="H10" s="457"/>
    </row>
    <row r="11" spans="1:8" s="146" customFormat="1" ht="38.1" customHeight="1">
      <c r="A11" s="311"/>
      <c r="B11" s="404" t="s">
        <v>992</v>
      </c>
      <c r="C11" s="404"/>
      <c r="D11" s="404"/>
      <c r="E11" s="404"/>
      <c r="F11" s="404"/>
      <c r="G11" s="404"/>
      <c r="H11" s="457"/>
    </row>
    <row r="12" spans="1:8" ht="65.099999999999994" customHeight="1">
      <c r="A12" s="406"/>
      <c r="B12" s="406"/>
      <c r="C12" s="406"/>
      <c r="D12" s="406"/>
      <c r="E12" s="406"/>
      <c r="F12" s="406"/>
      <c r="G12" s="406"/>
      <c r="H12" s="406"/>
    </row>
  </sheetData>
  <mergeCells count="12">
    <mergeCell ref="A12:H12"/>
    <mergeCell ref="B7:H7"/>
    <mergeCell ref="B8:H8"/>
    <mergeCell ref="B9:H9"/>
    <mergeCell ref="B10:H10"/>
    <mergeCell ref="B11:H11"/>
    <mergeCell ref="B6:H6"/>
    <mergeCell ref="B1:H1"/>
    <mergeCell ref="B2:H2"/>
    <mergeCell ref="B3:H3"/>
    <mergeCell ref="B4:H4"/>
    <mergeCell ref="B5:H5"/>
  </mergeCells>
  <printOptions headings="1"/>
  <pageMargins left="0.7" right="0.33" top="0.98" bottom="0.75" header="0.3" footer="0.3"/>
  <pageSetup paperSize="9" scale="60"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1"/>
  <sheetViews>
    <sheetView showGridLines="0" rightToLeft="1" workbookViewId="0">
      <pane xSplit="14" topLeftCell="O1" activePane="topRight" state="frozen"/>
      <selection activeCell="F12" sqref="F12"/>
      <selection pane="topRight" sqref="A1:N1"/>
    </sheetView>
  </sheetViews>
  <sheetFormatPr defaultColWidth="10.6640625" defaultRowHeight="35.1" customHeight="1"/>
  <cols>
    <col min="1" max="1" width="7.6640625" style="35" customWidth="1"/>
    <col min="2" max="2" width="27.5" style="35" customWidth="1"/>
    <col min="3" max="3" width="13.1640625" style="35" customWidth="1"/>
    <col min="4" max="4" width="13.1640625" style="52" customWidth="1"/>
    <col min="5" max="13" width="10.1640625" style="52" customWidth="1"/>
    <col min="14" max="14" width="10.6640625" style="53" customWidth="1"/>
    <col min="15" max="18" width="8.6640625" style="32" customWidth="1"/>
    <col min="19" max="19" width="8.6640625" style="33" customWidth="1"/>
    <col min="20" max="20" width="13.33203125" style="34" customWidth="1"/>
    <col min="21" max="21" width="10.6640625" style="33"/>
    <col min="22" max="16384" width="10.6640625" style="35"/>
  </cols>
  <sheetData>
    <row r="1" spans="1:21" ht="72" customHeight="1">
      <c r="A1" s="462" t="s">
        <v>113</v>
      </c>
      <c r="B1" s="463"/>
      <c r="C1" s="463"/>
      <c r="D1" s="463"/>
      <c r="E1" s="463"/>
      <c r="F1" s="463"/>
      <c r="G1" s="463"/>
      <c r="H1" s="463"/>
      <c r="I1" s="463"/>
      <c r="J1" s="463"/>
      <c r="K1" s="463"/>
      <c r="L1" s="463"/>
      <c r="M1" s="463"/>
      <c r="N1" s="463"/>
    </row>
    <row r="2" spans="1:21" s="38" customFormat="1" ht="25.5" customHeight="1">
      <c r="A2" s="374" t="s">
        <v>0</v>
      </c>
      <c r="B2" s="374" t="s">
        <v>11</v>
      </c>
      <c r="C2" s="374" t="s">
        <v>102</v>
      </c>
      <c r="D2" s="375" t="s">
        <v>103</v>
      </c>
      <c r="E2" s="375" t="s">
        <v>104</v>
      </c>
      <c r="F2" s="375"/>
      <c r="G2" s="375"/>
      <c r="H2" s="375"/>
      <c r="I2" s="375"/>
      <c r="J2" s="375" t="s">
        <v>105</v>
      </c>
      <c r="K2" s="375"/>
      <c r="L2" s="375"/>
      <c r="M2" s="375"/>
      <c r="N2" s="375"/>
      <c r="O2" s="32"/>
      <c r="P2" s="32"/>
      <c r="Q2" s="32"/>
      <c r="R2" s="32"/>
      <c r="S2" s="36"/>
      <c r="T2" s="37"/>
      <c r="U2" s="36"/>
    </row>
    <row r="3" spans="1:21" s="38" customFormat="1" ht="20.100000000000001" customHeight="1">
      <c r="A3" s="374"/>
      <c r="B3" s="374"/>
      <c r="C3" s="374"/>
      <c r="D3" s="375"/>
      <c r="E3" s="375" t="s">
        <v>106</v>
      </c>
      <c r="F3" s="375"/>
      <c r="G3" s="461">
        <v>1397</v>
      </c>
      <c r="H3" s="461">
        <v>1398</v>
      </c>
      <c r="I3" s="461">
        <v>1399</v>
      </c>
      <c r="J3" s="461">
        <v>1400</v>
      </c>
      <c r="K3" s="461">
        <v>1401</v>
      </c>
      <c r="L3" s="461">
        <v>1402</v>
      </c>
      <c r="M3" s="461">
        <v>1403</v>
      </c>
      <c r="N3" s="461">
        <v>1404</v>
      </c>
      <c r="O3" s="32"/>
      <c r="P3" s="32"/>
      <c r="Q3" s="32"/>
      <c r="R3" s="32"/>
      <c r="S3" s="36"/>
      <c r="T3" s="37"/>
      <c r="U3" s="36"/>
    </row>
    <row r="4" spans="1:21" s="87" customFormat="1" ht="20.25" customHeight="1">
      <c r="A4" s="374"/>
      <c r="B4" s="374"/>
      <c r="C4" s="374"/>
      <c r="D4" s="375"/>
      <c r="E4" s="275">
        <v>1395</v>
      </c>
      <c r="F4" s="275">
        <v>1396</v>
      </c>
      <c r="G4" s="461"/>
      <c r="H4" s="461"/>
      <c r="I4" s="461"/>
      <c r="J4" s="461"/>
      <c r="K4" s="461"/>
      <c r="L4" s="461"/>
      <c r="M4" s="461"/>
      <c r="N4" s="461"/>
      <c r="O4" s="83"/>
      <c r="P4" s="83"/>
      <c r="Q4" s="84"/>
      <c r="R4" s="83"/>
      <c r="S4" s="85"/>
      <c r="T4" s="86"/>
      <c r="U4" s="85"/>
    </row>
    <row r="5" spans="1:21" s="87" customFormat="1" ht="30" customHeight="1">
      <c r="A5" s="276">
        <v>1</v>
      </c>
      <c r="B5" s="205" t="s">
        <v>14</v>
      </c>
      <c r="C5" s="277">
        <f>$A$200*'[24]نرخ تسهیم هدف 9'!L3</f>
        <v>80.084076542877568</v>
      </c>
      <c r="D5" s="278">
        <f t="shared" ref="D5:N20" si="0">C5*1.05</f>
        <v>84.088280370021451</v>
      </c>
      <c r="E5" s="278">
        <f t="shared" si="0"/>
        <v>88.292694388522534</v>
      </c>
      <c r="F5" s="278">
        <f t="shared" si="0"/>
        <v>92.707329107948667</v>
      </c>
      <c r="G5" s="278">
        <f t="shared" si="0"/>
        <v>97.342695563346098</v>
      </c>
      <c r="H5" s="278">
        <f t="shared" si="0"/>
        <v>102.20983034151341</v>
      </c>
      <c r="I5" s="278">
        <f t="shared" si="0"/>
        <v>107.32032185858908</v>
      </c>
      <c r="J5" s="278">
        <f t="shared" si="0"/>
        <v>112.68633795151854</v>
      </c>
      <c r="K5" s="278">
        <f t="shared" si="0"/>
        <v>118.32065484909447</v>
      </c>
      <c r="L5" s="278">
        <f t="shared" si="0"/>
        <v>124.2366875915492</v>
      </c>
      <c r="M5" s="278">
        <f t="shared" si="0"/>
        <v>130.44852197112667</v>
      </c>
      <c r="N5" s="278">
        <f t="shared" si="0"/>
        <v>136.970948069683</v>
      </c>
      <c r="O5" s="83"/>
      <c r="P5" s="83"/>
      <c r="Q5" s="84"/>
      <c r="R5" s="84"/>
      <c r="S5" s="84"/>
      <c r="T5" s="86"/>
      <c r="U5" s="85"/>
    </row>
    <row r="6" spans="1:21" s="87" customFormat="1" ht="30" customHeight="1">
      <c r="A6" s="276">
        <v>2</v>
      </c>
      <c r="B6" s="205" t="s">
        <v>15</v>
      </c>
      <c r="C6" s="277">
        <f>$A$200*'[24]نرخ تسهیم هدف 9'!L4</f>
        <v>66.656927342581795</v>
      </c>
      <c r="D6" s="278">
        <f t="shared" si="0"/>
        <v>69.989773709710889</v>
      </c>
      <c r="E6" s="278">
        <f t="shared" si="0"/>
        <v>73.489262395196434</v>
      </c>
      <c r="F6" s="278">
        <f t="shared" si="0"/>
        <v>77.163725514956255</v>
      </c>
      <c r="G6" s="278">
        <f t="shared" si="0"/>
        <v>81.021911790704067</v>
      </c>
      <c r="H6" s="278">
        <f t="shared" si="0"/>
        <v>85.073007380239275</v>
      </c>
      <c r="I6" s="278">
        <f t="shared" si="0"/>
        <v>89.32665774925124</v>
      </c>
      <c r="J6" s="278">
        <f t="shared" si="0"/>
        <v>93.79299063671381</v>
      </c>
      <c r="K6" s="278">
        <f t="shared" si="0"/>
        <v>98.482640168549509</v>
      </c>
      <c r="L6" s="278">
        <f t="shared" si="0"/>
        <v>103.40677217697699</v>
      </c>
      <c r="M6" s="278">
        <f t="shared" si="0"/>
        <v>108.57711078582584</v>
      </c>
      <c r="N6" s="278">
        <f t="shared" si="0"/>
        <v>114.00596632511713</v>
      </c>
      <c r="O6" s="83"/>
      <c r="P6" s="83"/>
      <c r="Q6" s="84"/>
      <c r="R6" s="84"/>
      <c r="S6" s="84"/>
      <c r="T6" s="86"/>
      <c r="U6" s="85"/>
    </row>
    <row r="7" spans="1:21" s="87" customFormat="1" ht="30" customHeight="1">
      <c r="A7" s="276">
        <v>3</v>
      </c>
      <c r="B7" s="205" t="s">
        <v>16</v>
      </c>
      <c r="C7" s="277">
        <f>$A$200*'[24]نرخ تسهیم هدف 9'!L5</f>
        <v>73.326813179162528</v>
      </c>
      <c r="D7" s="278">
        <f t="shared" si="0"/>
        <v>76.993153838120662</v>
      </c>
      <c r="E7" s="278">
        <f t="shared" si="0"/>
        <v>80.842811530026694</v>
      </c>
      <c r="F7" s="278">
        <f t="shared" si="0"/>
        <v>84.884952106528033</v>
      </c>
      <c r="G7" s="278">
        <f t="shared" si="0"/>
        <v>89.12919971185444</v>
      </c>
      <c r="H7" s="278">
        <f t="shared" si="0"/>
        <v>93.58565969744717</v>
      </c>
      <c r="I7" s="278">
        <f t="shared" si="0"/>
        <v>98.264942682319528</v>
      </c>
      <c r="J7" s="278">
        <f t="shared" si="0"/>
        <v>103.17818981643551</v>
      </c>
      <c r="K7" s="278">
        <f t="shared" si="0"/>
        <v>108.33709930725729</v>
      </c>
      <c r="L7" s="278">
        <f t="shared" si="0"/>
        <v>113.75395427262016</v>
      </c>
      <c r="M7" s="278">
        <f t="shared" si="0"/>
        <v>119.44165198625117</v>
      </c>
      <c r="N7" s="278">
        <f t="shared" si="0"/>
        <v>125.41373458556373</v>
      </c>
      <c r="O7" s="83"/>
      <c r="P7" s="83"/>
      <c r="Q7" s="84"/>
      <c r="R7" s="84"/>
      <c r="S7" s="84"/>
      <c r="T7" s="86"/>
      <c r="U7" s="85"/>
    </row>
    <row r="8" spans="1:21" s="87" customFormat="1" ht="30" customHeight="1">
      <c r="A8" s="276">
        <v>4</v>
      </c>
      <c r="B8" s="205" t="s">
        <v>17</v>
      </c>
      <c r="C8" s="277">
        <f>$A$200*'[24]نرخ تسهیم هدف 9'!L6</f>
        <v>165.90045512913659</v>
      </c>
      <c r="D8" s="278">
        <f t="shared" si="0"/>
        <v>174.19547788559342</v>
      </c>
      <c r="E8" s="278">
        <f t="shared" si="0"/>
        <v>182.90525177987311</v>
      </c>
      <c r="F8" s="278">
        <f t="shared" si="0"/>
        <v>192.05051436886677</v>
      </c>
      <c r="G8" s="278">
        <f t="shared" si="0"/>
        <v>201.65304008731013</v>
      </c>
      <c r="H8" s="278">
        <f t="shared" si="0"/>
        <v>211.73569209167565</v>
      </c>
      <c r="I8" s="278">
        <f t="shared" si="0"/>
        <v>222.32247669625943</v>
      </c>
      <c r="J8" s="278">
        <f t="shared" si="0"/>
        <v>233.43860053107241</v>
      </c>
      <c r="K8" s="278">
        <f t="shared" si="0"/>
        <v>245.11053055762605</v>
      </c>
      <c r="L8" s="278">
        <f t="shared" si="0"/>
        <v>257.36605708550735</v>
      </c>
      <c r="M8" s="278">
        <f t="shared" si="0"/>
        <v>270.23435993978273</v>
      </c>
      <c r="N8" s="278">
        <f t="shared" si="0"/>
        <v>283.74607793677188</v>
      </c>
      <c r="O8" s="83"/>
      <c r="P8" s="83"/>
      <c r="Q8" s="84"/>
      <c r="R8" s="84"/>
      <c r="S8" s="84"/>
      <c r="T8" s="86"/>
      <c r="U8" s="85"/>
    </row>
    <row r="9" spans="1:21" s="87" customFormat="1" ht="30" customHeight="1">
      <c r="A9" s="276">
        <v>5</v>
      </c>
      <c r="B9" s="205" t="s">
        <v>18</v>
      </c>
      <c r="C9" s="277">
        <f>$A$200*'[24]نرخ تسهیم هدف 9'!L7</f>
        <v>100.5945372030377</v>
      </c>
      <c r="D9" s="278">
        <f t="shared" si="0"/>
        <v>105.6242640631896</v>
      </c>
      <c r="E9" s="278">
        <f t="shared" si="0"/>
        <v>110.90547726634908</v>
      </c>
      <c r="F9" s="278">
        <f t="shared" si="0"/>
        <v>116.45075112966654</v>
      </c>
      <c r="G9" s="278">
        <f t="shared" si="0"/>
        <v>122.27328868614987</v>
      </c>
      <c r="H9" s="278">
        <f t="shared" si="0"/>
        <v>128.38695312045738</v>
      </c>
      <c r="I9" s="278">
        <f t="shared" si="0"/>
        <v>134.80630077648024</v>
      </c>
      <c r="J9" s="278">
        <f t="shared" si="0"/>
        <v>141.54661581530425</v>
      </c>
      <c r="K9" s="278">
        <f t="shared" si="0"/>
        <v>148.62394660606947</v>
      </c>
      <c r="L9" s="278">
        <f t="shared" si="0"/>
        <v>156.05514393637296</v>
      </c>
      <c r="M9" s="278">
        <f t="shared" si="0"/>
        <v>163.8579011331916</v>
      </c>
      <c r="N9" s="278">
        <f t="shared" si="0"/>
        <v>172.05079618985118</v>
      </c>
      <c r="O9" s="83"/>
      <c r="P9" s="83"/>
      <c r="Q9" s="84"/>
      <c r="R9" s="84"/>
      <c r="S9" s="84"/>
      <c r="T9" s="86"/>
      <c r="U9" s="85"/>
    </row>
    <row r="10" spans="1:21" s="87" customFormat="1" ht="30" customHeight="1">
      <c r="A10" s="276">
        <v>6</v>
      </c>
      <c r="B10" s="205" t="s">
        <v>19</v>
      </c>
      <c r="C10" s="277">
        <f>$A$200*'[24]نرخ تسهیم هدف 9'!L8</f>
        <v>19.128647481050173</v>
      </c>
      <c r="D10" s="278">
        <f t="shared" si="0"/>
        <v>20.085079855102684</v>
      </c>
      <c r="E10" s="278">
        <f t="shared" si="0"/>
        <v>21.089333847857819</v>
      </c>
      <c r="F10" s="278">
        <f t="shared" si="0"/>
        <v>22.143800540250712</v>
      </c>
      <c r="G10" s="278">
        <f t="shared" si="0"/>
        <v>23.250990567263248</v>
      </c>
      <c r="H10" s="278">
        <f t="shared" si="0"/>
        <v>24.413540095626413</v>
      </c>
      <c r="I10" s="278">
        <f t="shared" si="0"/>
        <v>25.634217100407735</v>
      </c>
      <c r="J10" s="278">
        <f t="shared" si="0"/>
        <v>26.915927955428124</v>
      </c>
      <c r="K10" s="278">
        <f t="shared" si="0"/>
        <v>28.261724353199533</v>
      </c>
      <c r="L10" s="278">
        <f t="shared" si="0"/>
        <v>29.67481057085951</v>
      </c>
      <c r="M10" s="278">
        <f t="shared" si="0"/>
        <v>31.158551099402487</v>
      </c>
      <c r="N10" s="278">
        <f t="shared" si="0"/>
        <v>32.716478654372615</v>
      </c>
      <c r="O10" s="83"/>
      <c r="P10" s="83"/>
      <c r="Q10" s="84"/>
      <c r="R10" s="84"/>
      <c r="S10" s="84"/>
      <c r="T10" s="86"/>
      <c r="U10" s="85"/>
    </row>
    <row r="11" spans="1:21" s="87" customFormat="1" ht="30" customHeight="1">
      <c r="A11" s="276">
        <v>7</v>
      </c>
      <c r="B11" s="205" t="s">
        <v>20</v>
      </c>
      <c r="C11" s="277">
        <f>$A$200*'[24]نرخ تسهیم هدف 9'!L9</f>
        <v>55.771584802234067</v>
      </c>
      <c r="D11" s="278">
        <f t="shared" si="0"/>
        <v>58.560164042345775</v>
      </c>
      <c r="E11" s="278">
        <f t="shared" si="0"/>
        <v>61.488172244463065</v>
      </c>
      <c r="F11" s="278">
        <f t="shared" si="0"/>
        <v>64.562580856686225</v>
      </c>
      <c r="G11" s="278">
        <f t="shared" si="0"/>
        <v>67.790709899520536</v>
      </c>
      <c r="H11" s="278">
        <f t="shared" si="0"/>
        <v>71.180245394496566</v>
      </c>
      <c r="I11" s="278">
        <f t="shared" si="0"/>
        <v>74.739257664221398</v>
      </c>
      <c r="J11" s="278">
        <f t="shared" si="0"/>
        <v>78.476220547432476</v>
      </c>
      <c r="K11" s="278">
        <f t="shared" si="0"/>
        <v>82.400031574804103</v>
      </c>
      <c r="L11" s="278">
        <f t="shared" si="0"/>
        <v>86.520033153544318</v>
      </c>
      <c r="M11" s="278">
        <f t="shared" si="0"/>
        <v>90.846034811221543</v>
      </c>
      <c r="N11" s="278">
        <f t="shared" si="0"/>
        <v>95.388336551782629</v>
      </c>
      <c r="O11" s="83"/>
      <c r="P11" s="83"/>
      <c r="Q11" s="84"/>
      <c r="R11" s="84"/>
      <c r="S11" s="84"/>
      <c r="T11" s="86"/>
      <c r="U11" s="85"/>
    </row>
    <row r="12" spans="1:21" s="87" customFormat="1" ht="30" customHeight="1">
      <c r="A12" s="276">
        <v>8</v>
      </c>
      <c r="B12" s="205" t="s">
        <v>21</v>
      </c>
      <c r="C12" s="277">
        <f>$A$200*'[24]نرخ تسهیم هدف 9'!L10</f>
        <v>162.80616469578283</v>
      </c>
      <c r="D12" s="278">
        <f t="shared" si="0"/>
        <v>170.94647293057199</v>
      </c>
      <c r="E12" s="278">
        <f t="shared" si="0"/>
        <v>179.4937965771006</v>
      </c>
      <c r="F12" s="278">
        <f t="shared" si="0"/>
        <v>188.46848640595564</v>
      </c>
      <c r="G12" s="278">
        <f t="shared" si="0"/>
        <v>197.89191072625343</v>
      </c>
      <c r="H12" s="278">
        <f t="shared" si="0"/>
        <v>207.78650626256612</v>
      </c>
      <c r="I12" s="278">
        <f t="shared" si="0"/>
        <v>218.17583157569445</v>
      </c>
      <c r="J12" s="278">
        <f t="shared" si="0"/>
        <v>229.08462315447917</v>
      </c>
      <c r="K12" s="278">
        <f t="shared" si="0"/>
        <v>240.53885431220314</v>
      </c>
      <c r="L12" s="278">
        <f t="shared" si="0"/>
        <v>252.56579702781332</v>
      </c>
      <c r="M12" s="278">
        <f t="shared" si="0"/>
        <v>265.19408687920401</v>
      </c>
      <c r="N12" s="278">
        <f t="shared" si="0"/>
        <v>278.45379122316422</v>
      </c>
      <c r="O12" s="83"/>
      <c r="P12" s="83"/>
      <c r="Q12" s="84"/>
      <c r="R12" s="84"/>
      <c r="S12" s="84"/>
      <c r="T12" s="86"/>
      <c r="U12" s="85"/>
    </row>
    <row r="13" spans="1:21" s="87" customFormat="1" ht="30" customHeight="1">
      <c r="A13" s="276">
        <v>9</v>
      </c>
      <c r="B13" s="205" t="s">
        <v>22</v>
      </c>
      <c r="C13" s="277">
        <f>$A$200*'[24]نرخ تسهیم هدف 9'!L11</f>
        <v>11.476898079356246</v>
      </c>
      <c r="D13" s="278">
        <f t="shared" si="0"/>
        <v>12.050742983324058</v>
      </c>
      <c r="E13" s="278">
        <f t="shared" si="0"/>
        <v>12.653280132490261</v>
      </c>
      <c r="F13" s="278">
        <f t="shared" si="0"/>
        <v>13.285944139114775</v>
      </c>
      <c r="G13" s="278">
        <f t="shared" si="0"/>
        <v>13.950241346070515</v>
      </c>
      <c r="H13" s="278">
        <f t="shared" si="0"/>
        <v>14.647753413374041</v>
      </c>
      <c r="I13" s="278">
        <f t="shared" si="0"/>
        <v>15.380141084042743</v>
      </c>
      <c r="J13" s="278">
        <f t="shared" si="0"/>
        <v>16.149148138244879</v>
      </c>
      <c r="K13" s="278">
        <f t="shared" si="0"/>
        <v>16.956605545157124</v>
      </c>
      <c r="L13" s="278">
        <f t="shared" si="0"/>
        <v>17.80443582241498</v>
      </c>
      <c r="M13" s="278">
        <f t="shared" si="0"/>
        <v>18.694657613535732</v>
      </c>
      <c r="N13" s="278">
        <f t="shared" si="0"/>
        <v>19.629390494212519</v>
      </c>
      <c r="O13" s="83"/>
      <c r="P13" s="83"/>
      <c r="Q13" s="84"/>
      <c r="R13" s="84"/>
      <c r="S13" s="84"/>
      <c r="T13" s="86"/>
      <c r="U13" s="85"/>
    </row>
    <row r="14" spans="1:21" s="87" customFormat="1" ht="30" customHeight="1">
      <c r="A14" s="276">
        <v>10</v>
      </c>
      <c r="B14" s="205" t="s">
        <v>23</v>
      </c>
      <c r="C14" s="277">
        <f>$A$200*'[24]نرخ تسهیم هدف 9'!L12</f>
        <v>66.281820458748697</v>
      </c>
      <c r="D14" s="278">
        <f t="shared" si="0"/>
        <v>69.59591148168613</v>
      </c>
      <c r="E14" s="278">
        <f t="shared" si="0"/>
        <v>73.075707055770437</v>
      </c>
      <c r="F14" s="278">
        <f t="shared" si="0"/>
        <v>76.729492408558968</v>
      </c>
      <c r="G14" s="278">
        <f t="shared" si="0"/>
        <v>80.565967028986918</v>
      </c>
      <c r="H14" s="278">
        <f t="shared" si="0"/>
        <v>84.594265380436269</v>
      </c>
      <c r="I14" s="278">
        <f t="shared" si="0"/>
        <v>88.823978649458084</v>
      </c>
      <c r="J14" s="278">
        <f t="shared" si="0"/>
        <v>93.265177581930999</v>
      </c>
      <c r="K14" s="278">
        <f t="shared" si="0"/>
        <v>97.928436461027559</v>
      </c>
      <c r="L14" s="278">
        <f t="shared" si="0"/>
        <v>102.82485828407894</v>
      </c>
      <c r="M14" s="278">
        <f t="shared" si="0"/>
        <v>107.9661011982829</v>
      </c>
      <c r="N14" s="278">
        <f t="shared" si="0"/>
        <v>113.36440625819705</v>
      </c>
      <c r="O14" s="83"/>
      <c r="P14" s="83"/>
      <c r="Q14" s="84"/>
      <c r="R14" s="84"/>
      <c r="S14" s="84"/>
      <c r="T14" s="86"/>
      <c r="U14" s="85"/>
    </row>
    <row r="15" spans="1:21" s="87" customFormat="1" ht="30" customHeight="1">
      <c r="A15" s="276">
        <v>11</v>
      </c>
      <c r="B15" s="205" t="s">
        <v>24</v>
      </c>
      <c r="C15" s="277">
        <f>$A$200*'[24]نرخ تسهیم هدف 9'!L13</f>
        <v>21.22581003026481</v>
      </c>
      <c r="D15" s="278">
        <f t="shared" si="0"/>
        <v>22.287100531778052</v>
      </c>
      <c r="E15" s="278">
        <f t="shared" si="0"/>
        <v>23.401455558366955</v>
      </c>
      <c r="F15" s="278">
        <f t="shared" si="0"/>
        <v>24.571528336285304</v>
      </c>
      <c r="G15" s="278">
        <f t="shared" si="0"/>
        <v>25.800104753099571</v>
      </c>
      <c r="H15" s="278">
        <f t="shared" si="0"/>
        <v>27.090109990754552</v>
      </c>
      <c r="I15" s="278">
        <f t="shared" si="0"/>
        <v>28.444615490292282</v>
      </c>
      <c r="J15" s="278">
        <f t="shared" si="0"/>
        <v>29.866846264806899</v>
      </c>
      <c r="K15" s="278">
        <f t="shared" si="0"/>
        <v>31.360188578047246</v>
      </c>
      <c r="L15" s="278">
        <f t="shared" si="0"/>
        <v>32.928198006949607</v>
      </c>
      <c r="M15" s="278">
        <f t="shared" si="0"/>
        <v>34.574607907297086</v>
      </c>
      <c r="N15" s="278">
        <f t="shared" si="0"/>
        <v>36.303338302661942</v>
      </c>
      <c r="O15" s="83"/>
      <c r="P15" s="83"/>
      <c r="Q15" s="84"/>
      <c r="R15" s="84"/>
      <c r="S15" s="84"/>
      <c r="T15" s="86"/>
      <c r="U15" s="85"/>
    </row>
    <row r="16" spans="1:21" s="87" customFormat="1" ht="30" customHeight="1">
      <c r="A16" s="276">
        <v>12</v>
      </c>
      <c r="B16" s="205" t="s">
        <v>25</v>
      </c>
      <c r="C16" s="277">
        <f>$A$200*'[24]نرخ تسهیم هدف 9'!L14</f>
        <v>110.42100371476485</v>
      </c>
      <c r="D16" s="278">
        <f t="shared" si="0"/>
        <v>115.9420539005031</v>
      </c>
      <c r="E16" s="278">
        <f t="shared" si="0"/>
        <v>121.73915659552826</v>
      </c>
      <c r="F16" s="278">
        <f t="shared" si="0"/>
        <v>127.82611442530468</v>
      </c>
      <c r="G16" s="278">
        <f t="shared" si="0"/>
        <v>134.21742014656991</v>
      </c>
      <c r="H16" s="278">
        <f t="shared" si="0"/>
        <v>140.92829115389841</v>
      </c>
      <c r="I16" s="278">
        <f t="shared" si="0"/>
        <v>147.97470571159334</v>
      </c>
      <c r="J16" s="278">
        <f t="shared" si="0"/>
        <v>155.37344099717302</v>
      </c>
      <c r="K16" s="278">
        <f t="shared" si="0"/>
        <v>163.14211304703167</v>
      </c>
      <c r="L16" s="278">
        <f t="shared" si="0"/>
        <v>171.29921869938326</v>
      </c>
      <c r="M16" s="278">
        <f t="shared" si="0"/>
        <v>179.86417963435244</v>
      </c>
      <c r="N16" s="278">
        <f t="shared" si="0"/>
        <v>188.85738861607007</v>
      </c>
      <c r="O16" s="83"/>
      <c r="P16" s="83"/>
      <c r="Q16" s="84"/>
      <c r="R16" s="84"/>
      <c r="S16" s="84"/>
      <c r="T16" s="86"/>
      <c r="U16" s="85"/>
    </row>
    <row r="17" spans="1:21" s="87" customFormat="1" ht="30" customHeight="1">
      <c r="A17" s="276">
        <v>13</v>
      </c>
      <c r="B17" s="205" t="s">
        <v>26</v>
      </c>
      <c r="C17" s="277">
        <f>$A$200*'[24]نرخ تسهیم هدف 9'!L15</f>
        <v>45.487314054258192</v>
      </c>
      <c r="D17" s="278">
        <f t="shared" si="0"/>
        <v>47.761679756971105</v>
      </c>
      <c r="E17" s="278">
        <f t="shared" si="0"/>
        <v>50.149763744819666</v>
      </c>
      <c r="F17" s="278">
        <f t="shared" si="0"/>
        <v>52.657251932060653</v>
      </c>
      <c r="G17" s="278">
        <f t="shared" si="0"/>
        <v>55.290114528663686</v>
      </c>
      <c r="H17" s="278">
        <f t="shared" si="0"/>
        <v>58.054620255096872</v>
      </c>
      <c r="I17" s="278">
        <f t="shared" si="0"/>
        <v>60.95735126785172</v>
      </c>
      <c r="J17" s="278">
        <f t="shared" si="0"/>
        <v>64.005218831244306</v>
      </c>
      <c r="K17" s="278">
        <f t="shared" si="0"/>
        <v>67.205479772806527</v>
      </c>
      <c r="L17" s="278">
        <f t="shared" si="0"/>
        <v>70.565753761446857</v>
      </c>
      <c r="M17" s="278">
        <f t="shared" si="0"/>
        <v>74.094041449519196</v>
      </c>
      <c r="N17" s="278">
        <f t="shared" si="0"/>
        <v>77.798743521995164</v>
      </c>
      <c r="O17" s="83"/>
      <c r="P17" s="83"/>
      <c r="Q17" s="84"/>
      <c r="R17" s="84"/>
      <c r="S17" s="84"/>
      <c r="T17" s="86"/>
      <c r="U17" s="85"/>
    </row>
    <row r="18" spans="1:21" s="87" customFormat="1" ht="30" customHeight="1">
      <c r="A18" s="276">
        <v>14</v>
      </c>
      <c r="B18" s="205" t="s">
        <v>27</v>
      </c>
      <c r="C18" s="277">
        <f>$A$200*'[24]نرخ تسهیم هدف 9'!L16</f>
        <v>85.228702303761324</v>
      </c>
      <c r="D18" s="278">
        <f t="shared" si="0"/>
        <v>89.490137418949388</v>
      </c>
      <c r="E18" s="278">
        <f t="shared" si="0"/>
        <v>93.964644289896867</v>
      </c>
      <c r="F18" s="278">
        <f t="shared" si="0"/>
        <v>98.662876504391718</v>
      </c>
      <c r="G18" s="278">
        <f t="shared" si="0"/>
        <v>103.59602032961131</v>
      </c>
      <c r="H18" s="278">
        <f t="shared" si="0"/>
        <v>108.77582134609187</v>
      </c>
      <c r="I18" s="278">
        <f t="shared" si="0"/>
        <v>114.21461241339647</v>
      </c>
      <c r="J18" s="278">
        <f t="shared" si="0"/>
        <v>119.9253430340663</v>
      </c>
      <c r="K18" s="278">
        <f t="shared" si="0"/>
        <v>125.92161018576962</v>
      </c>
      <c r="L18" s="278">
        <f t="shared" si="0"/>
        <v>132.21769069505811</v>
      </c>
      <c r="M18" s="278">
        <f t="shared" si="0"/>
        <v>138.82857522981101</v>
      </c>
      <c r="N18" s="278">
        <f t="shared" si="0"/>
        <v>145.77000399130156</v>
      </c>
      <c r="O18" s="83"/>
      <c r="P18" s="83"/>
      <c r="Q18" s="84"/>
      <c r="R18" s="84"/>
      <c r="S18" s="84"/>
      <c r="T18" s="86"/>
      <c r="U18" s="85"/>
    </row>
    <row r="19" spans="1:21" s="87" customFormat="1" ht="30" customHeight="1">
      <c r="A19" s="276">
        <v>15</v>
      </c>
      <c r="B19" s="205" t="s">
        <v>28</v>
      </c>
      <c r="C19" s="277">
        <f>$A$200*'[24]نرخ تسهیم هدف 9'!L17</f>
        <v>43.226605229765909</v>
      </c>
      <c r="D19" s="278">
        <f t="shared" si="0"/>
        <v>45.387935491254204</v>
      </c>
      <c r="E19" s="278">
        <f t="shared" si="0"/>
        <v>47.657332265816919</v>
      </c>
      <c r="F19" s="278">
        <f t="shared" si="0"/>
        <v>50.04019887910777</v>
      </c>
      <c r="G19" s="278">
        <f t="shared" si="0"/>
        <v>52.542208823063163</v>
      </c>
      <c r="H19" s="278">
        <f t="shared" si="0"/>
        <v>55.169319264216327</v>
      </c>
      <c r="I19" s="278">
        <f t="shared" si="0"/>
        <v>57.927785227427144</v>
      </c>
      <c r="J19" s="278">
        <f t="shared" si="0"/>
        <v>60.824174488798505</v>
      </c>
      <c r="K19" s="278">
        <f t="shared" si="0"/>
        <v>63.865383213238431</v>
      </c>
      <c r="L19" s="278">
        <f t="shared" si="0"/>
        <v>67.058652373900358</v>
      </c>
      <c r="M19" s="278">
        <f t="shared" si="0"/>
        <v>70.41158499259538</v>
      </c>
      <c r="N19" s="278">
        <f t="shared" si="0"/>
        <v>73.932164242225156</v>
      </c>
      <c r="O19" s="83"/>
      <c r="P19" s="83"/>
      <c r="Q19" s="84"/>
      <c r="R19" s="84"/>
      <c r="S19" s="84"/>
      <c r="T19" s="86"/>
      <c r="U19" s="85"/>
    </row>
    <row r="20" spans="1:21" s="87" customFormat="1" ht="30" customHeight="1">
      <c r="A20" s="276">
        <v>16</v>
      </c>
      <c r="B20" s="205" t="s">
        <v>29</v>
      </c>
      <c r="C20" s="277">
        <f>$A$200*'[24]نرخ تسهیم هدف 9'!L18</f>
        <v>51.34150647426717</v>
      </c>
      <c r="D20" s="278">
        <f t="shared" si="0"/>
        <v>53.908581797980531</v>
      </c>
      <c r="E20" s="278">
        <f t="shared" si="0"/>
        <v>56.604010887879561</v>
      </c>
      <c r="F20" s="278">
        <f t="shared" si="0"/>
        <v>59.434211432273543</v>
      </c>
      <c r="G20" s="278">
        <f t="shared" si="0"/>
        <v>62.40592200388722</v>
      </c>
      <c r="H20" s="278">
        <f t="shared" si="0"/>
        <v>65.526218104081579</v>
      </c>
      <c r="I20" s="278">
        <f t="shared" si="0"/>
        <v>68.802529009285664</v>
      </c>
      <c r="J20" s="278">
        <f t="shared" si="0"/>
        <v>72.242655459749955</v>
      </c>
      <c r="K20" s="278">
        <f t="shared" si="0"/>
        <v>75.854788232737462</v>
      </c>
      <c r="L20" s="278">
        <f t="shared" si="0"/>
        <v>79.647527644374335</v>
      </c>
      <c r="M20" s="278">
        <f t="shared" si="0"/>
        <v>83.629904026593053</v>
      </c>
      <c r="N20" s="278">
        <f t="shared" si="0"/>
        <v>87.811399227922706</v>
      </c>
      <c r="O20" s="83"/>
      <c r="P20" s="83"/>
      <c r="Q20" s="84"/>
      <c r="R20" s="84"/>
      <c r="S20" s="84"/>
      <c r="T20" s="86"/>
      <c r="U20" s="85"/>
    </row>
    <row r="21" spans="1:21" s="87" customFormat="1" ht="30" customHeight="1">
      <c r="A21" s="276">
        <v>17</v>
      </c>
      <c r="B21" s="205" t="s">
        <v>30</v>
      </c>
      <c r="C21" s="277">
        <f>$A$200*'[24]نرخ تسهیم هدف 9'!L19</f>
        <v>79.141265382748884</v>
      </c>
      <c r="D21" s="278">
        <f t="shared" ref="D21:N36" si="1">C21*1.05</f>
        <v>83.098328651886334</v>
      </c>
      <c r="E21" s="278">
        <f t="shared" si="1"/>
        <v>87.253245084480653</v>
      </c>
      <c r="F21" s="278">
        <f t="shared" si="1"/>
        <v>91.615907338704687</v>
      </c>
      <c r="G21" s="278">
        <f t="shared" si="1"/>
        <v>96.196702705639922</v>
      </c>
      <c r="H21" s="278">
        <f t="shared" si="1"/>
        <v>101.00653784092192</v>
      </c>
      <c r="I21" s="278">
        <f t="shared" si="1"/>
        <v>106.05686473296802</v>
      </c>
      <c r="J21" s="278">
        <f t="shared" si="1"/>
        <v>111.35970796961642</v>
      </c>
      <c r="K21" s="278">
        <f t="shared" si="1"/>
        <v>116.92769336809725</v>
      </c>
      <c r="L21" s="278">
        <f t="shared" si="1"/>
        <v>122.77407803650212</v>
      </c>
      <c r="M21" s="278">
        <f t="shared" si="1"/>
        <v>128.91278193832724</v>
      </c>
      <c r="N21" s="278">
        <f t="shared" si="1"/>
        <v>135.35842103524362</v>
      </c>
      <c r="O21" s="83"/>
      <c r="P21" s="83"/>
      <c r="Q21" s="84"/>
      <c r="R21" s="84"/>
      <c r="S21" s="84"/>
      <c r="T21" s="86"/>
      <c r="U21" s="85"/>
    </row>
    <row r="22" spans="1:21" s="87" customFormat="1" ht="30" customHeight="1">
      <c r="A22" s="276">
        <v>18</v>
      </c>
      <c r="B22" s="205" t="s">
        <v>31</v>
      </c>
      <c r="C22" s="277">
        <f>$A$200*'[24]نرخ تسهیم هدف 9'!L20</f>
        <v>140.4274807972991</v>
      </c>
      <c r="D22" s="278">
        <f t="shared" si="1"/>
        <v>147.44885483716405</v>
      </c>
      <c r="E22" s="278">
        <f t="shared" si="1"/>
        <v>154.82129757902226</v>
      </c>
      <c r="F22" s="278">
        <f t="shared" si="1"/>
        <v>162.56236245797336</v>
      </c>
      <c r="G22" s="278">
        <f t="shared" si="1"/>
        <v>170.69048058087205</v>
      </c>
      <c r="H22" s="278">
        <f t="shared" si="1"/>
        <v>179.22500460991566</v>
      </c>
      <c r="I22" s="278">
        <f t="shared" si="1"/>
        <v>188.18625484041144</v>
      </c>
      <c r="J22" s="278">
        <f t="shared" si="1"/>
        <v>197.59556758243201</v>
      </c>
      <c r="K22" s="278">
        <f t="shared" si="1"/>
        <v>207.47534596155361</v>
      </c>
      <c r="L22" s="278">
        <f t="shared" si="1"/>
        <v>217.84911325963131</v>
      </c>
      <c r="M22" s="278">
        <f t="shared" si="1"/>
        <v>228.74156892261288</v>
      </c>
      <c r="N22" s="278">
        <f t="shared" si="1"/>
        <v>240.17864736874353</v>
      </c>
      <c r="O22" s="83"/>
      <c r="P22" s="83"/>
      <c r="Q22" s="84"/>
      <c r="R22" s="84"/>
      <c r="S22" s="84"/>
      <c r="T22" s="86"/>
      <c r="U22" s="85"/>
    </row>
    <row r="23" spans="1:21" s="87" customFormat="1" ht="30" customHeight="1">
      <c r="A23" s="276">
        <v>19</v>
      </c>
      <c r="B23" s="205" t="s">
        <v>32</v>
      </c>
      <c r="C23" s="277">
        <f>$A$200*'[24]نرخ تسهیم هدف 9'!L21</f>
        <v>83.622993764306287</v>
      </c>
      <c r="D23" s="278">
        <f t="shared" si="1"/>
        <v>87.8041434525216</v>
      </c>
      <c r="E23" s="278">
        <f t="shared" si="1"/>
        <v>92.194350625147678</v>
      </c>
      <c r="F23" s="278">
        <f t="shared" si="1"/>
        <v>96.804068156405066</v>
      </c>
      <c r="G23" s="278">
        <f t="shared" si="1"/>
        <v>101.64427156422532</v>
      </c>
      <c r="H23" s="278">
        <f t="shared" si="1"/>
        <v>106.72648514243659</v>
      </c>
      <c r="I23" s="278">
        <f t="shared" si="1"/>
        <v>112.06280939955842</v>
      </c>
      <c r="J23" s="278">
        <f t="shared" si="1"/>
        <v>117.66594986953635</v>
      </c>
      <c r="K23" s="278">
        <f t="shared" si="1"/>
        <v>123.54924736301317</v>
      </c>
      <c r="L23" s="278">
        <f t="shared" si="1"/>
        <v>129.72670973116382</v>
      </c>
      <c r="M23" s="278">
        <f t="shared" si="1"/>
        <v>136.21304521772203</v>
      </c>
      <c r="N23" s="278">
        <f t="shared" si="1"/>
        <v>143.02369747860814</v>
      </c>
      <c r="O23" s="83"/>
      <c r="P23" s="83"/>
      <c r="Q23" s="84"/>
      <c r="R23" s="84"/>
      <c r="S23" s="84"/>
      <c r="T23" s="86"/>
      <c r="U23" s="85"/>
    </row>
    <row r="24" spans="1:21" s="87" customFormat="1" ht="30" customHeight="1">
      <c r="A24" s="276">
        <v>20</v>
      </c>
      <c r="B24" s="205" t="s">
        <v>33</v>
      </c>
      <c r="C24" s="277">
        <f>$A$200*'[24]نرخ تسهیم هدف 9'!L22</f>
        <v>53.385274476288345</v>
      </c>
      <c r="D24" s="278">
        <f t="shared" si="1"/>
        <v>56.054538200102762</v>
      </c>
      <c r="E24" s="278">
        <f t="shared" si="1"/>
        <v>58.857265110107903</v>
      </c>
      <c r="F24" s="278">
        <f t="shared" si="1"/>
        <v>61.800128365613304</v>
      </c>
      <c r="G24" s="278">
        <f t="shared" si="1"/>
        <v>64.89013478389397</v>
      </c>
      <c r="H24" s="278">
        <f t="shared" si="1"/>
        <v>68.134641523088675</v>
      </c>
      <c r="I24" s="278">
        <f t="shared" si="1"/>
        <v>71.541373599243116</v>
      </c>
      <c r="J24" s="278">
        <f t="shared" si="1"/>
        <v>75.118442279205269</v>
      </c>
      <c r="K24" s="278">
        <f t="shared" si="1"/>
        <v>78.874364393165536</v>
      </c>
      <c r="L24" s="278">
        <f t="shared" si="1"/>
        <v>82.818082612823815</v>
      </c>
      <c r="M24" s="278">
        <f t="shared" si="1"/>
        <v>86.958986743465005</v>
      </c>
      <c r="N24" s="278">
        <f t="shared" si="1"/>
        <v>91.306936080638252</v>
      </c>
      <c r="O24" s="83"/>
      <c r="P24" s="83"/>
      <c r="Q24" s="84"/>
      <c r="R24" s="84"/>
      <c r="S24" s="84"/>
      <c r="T24" s="86"/>
      <c r="U24" s="85"/>
    </row>
    <row r="25" spans="1:21" s="87" customFormat="1" ht="30" customHeight="1">
      <c r="A25" s="276">
        <v>21</v>
      </c>
      <c r="B25" s="205" t="s">
        <v>34</v>
      </c>
      <c r="C25" s="277">
        <f>$A$200*'[24]نرخ تسهیم هدف 9'!L23</f>
        <v>20.923733436457567</v>
      </c>
      <c r="D25" s="278">
        <f t="shared" si="1"/>
        <v>21.969920108280448</v>
      </c>
      <c r="E25" s="278">
        <f t="shared" si="1"/>
        <v>23.068416113694472</v>
      </c>
      <c r="F25" s="278">
        <f t="shared" si="1"/>
        <v>24.221836919379196</v>
      </c>
      <c r="G25" s="278">
        <f t="shared" si="1"/>
        <v>25.432928765348159</v>
      </c>
      <c r="H25" s="278">
        <f t="shared" si="1"/>
        <v>26.704575203615569</v>
      </c>
      <c r="I25" s="278">
        <f t="shared" si="1"/>
        <v>28.039803963796349</v>
      </c>
      <c r="J25" s="278">
        <f t="shared" si="1"/>
        <v>29.441794161986167</v>
      </c>
      <c r="K25" s="278">
        <f t="shared" si="1"/>
        <v>30.913883870085478</v>
      </c>
      <c r="L25" s="278">
        <f t="shared" si="1"/>
        <v>32.459578063589753</v>
      </c>
      <c r="M25" s="278">
        <f t="shared" si="1"/>
        <v>34.082556966769239</v>
      </c>
      <c r="N25" s="278">
        <f t="shared" si="1"/>
        <v>35.786684815107705</v>
      </c>
      <c r="O25" s="83"/>
      <c r="P25" s="83"/>
      <c r="Q25" s="84"/>
      <c r="R25" s="84"/>
      <c r="S25" s="84"/>
      <c r="T25" s="86"/>
      <c r="U25" s="85"/>
    </row>
    <row r="26" spans="1:21" s="87" customFormat="1" ht="30" customHeight="1">
      <c r="A26" s="276">
        <v>22</v>
      </c>
      <c r="B26" s="205" t="s">
        <v>35</v>
      </c>
      <c r="C26" s="277">
        <f>$A$200*'[24]نرخ تسهیم هدف 9'!L24</f>
        <v>58.844968824809811</v>
      </c>
      <c r="D26" s="278">
        <f t="shared" si="1"/>
        <v>61.787217266050305</v>
      </c>
      <c r="E26" s="278">
        <f t="shared" si="1"/>
        <v>64.876578129352822</v>
      </c>
      <c r="F26" s="278">
        <f t="shared" si="1"/>
        <v>68.120407035820463</v>
      </c>
      <c r="G26" s="278">
        <f t="shared" si="1"/>
        <v>71.526427387611491</v>
      </c>
      <c r="H26" s="278">
        <f t="shared" si="1"/>
        <v>75.102748756992071</v>
      </c>
      <c r="I26" s="278">
        <f t="shared" si="1"/>
        <v>78.857886194841683</v>
      </c>
      <c r="J26" s="278">
        <f t="shared" si="1"/>
        <v>82.80078050458377</v>
      </c>
      <c r="K26" s="278">
        <f t="shared" si="1"/>
        <v>86.940819529812956</v>
      </c>
      <c r="L26" s="278">
        <f t="shared" si="1"/>
        <v>91.287860506303602</v>
      </c>
      <c r="M26" s="278">
        <f t="shared" si="1"/>
        <v>95.852253531618786</v>
      </c>
      <c r="N26" s="278">
        <f t="shared" si="1"/>
        <v>100.64486620819973</v>
      </c>
      <c r="O26" s="83"/>
      <c r="P26" s="83"/>
      <c r="Q26" s="84"/>
      <c r="R26" s="84"/>
      <c r="S26" s="84"/>
      <c r="T26" s="86"/>
      <c r="U26" s="85"/>
    </row>
    <row r="27" spans="1:21" s="87" customFormat="1" ht="30" customHeight="1">
      <c r="A27" s="276">
        <v>23</v>
      </c>
      <c r="B27" s="205" t="s">
        <v>36</v>
      </c>
      <c r="C27" s="277">
        <f>$A$200*'[24]نرخ تسهیم هدف 9'!L25</f>
        <v>58.302362023654958</v>
      </c>
      <c r="D27" s="278">
        <f t="shared" si="1"/>
        <v>61.217480124837707</v>
      </c>
      <c r="E27" s="278">
        <f t="shared" si="1"/>
        <v>64.278354131079595</v>
      </c>
      <c r="F27" s="278">
        <f t="shared" si="1"/>
        <v>67.492271837633581</v>
      </c>
      <c r="G27" s="278">
        <f t="shared" si="1"/>
        <v>70.866885429515264</v>
      </c>
      <c r="H27" s="278">
        <f t="shared" si="1"/>
        <v>74.410229700991025</v>
      </c>
      <c r="I27" s="278">
        <f t="shared" si="1"/>
        <v>78.130741186040581</v>
      </c>
      <c r="J27" s="278">
        <f t="shared" si="1"/>
        <v>82.03727824534262</v>
      </c>
      <c r="K27" s="278">
        <f t="shared" si="1"/>
        <v>86.139142157609754</v>
      </c>
      <c r="L27" s="278">
        <f t="shared" si="1"/>
        <v>90.446099265490247</v>
      </c>
      <c r="M27" s="278">
        <f t="shared" si="1"/>
        <v>94.968404228764769</v>
      </c>
      <c r="N27" s="278">
        <f t="shared" si="1"/>
        <v>99.716824440203013</v>
      </c>
      <c r="O27" s="83"/>
      <c r="P27" s="83"/>
      <c r="Q27" s="84"/>
      <c r="R27" s="84"/>
      <c r="S27" s="84"/>
      <c r="T27" s="86"/>
      <c r="U27" s="85"/>
    </row>
    <row r="28" spans="1:21" s="87" customFormat="1" ht="30" customHeight="1">
      <c r="A28" s="276">
        <v>24</v>
      </c>
      <c r="B28" s="205" t="s">
        <v>37</v>
      </c>
      <c r="C28" s="277">
        <f>$A$200*'[24]نرخ تسهیم هدف 9'!L26</f>
        <v>25.706468482918517</v>
      </c>
      <c r="D28" s="278">
        <f t="shared" si="1"/>
        <v>26.991791907064442</v>
      </c>
      <c r="E28" s="278">
        <f t="shared" si="1"/>
        <v>28.341381502417665</v>
      </c>
      <c r="F28" s="278">
        <f t="shared" si="1"/>
        <v>29.75845057753855</v>
      </c>
      <c r="G28" s="278">
        <f t="shared" si="1"/>
        <v>31.246373106415479</v>
      </c>
      <c r="H28" s="278">
        <f t="shared" si="1"/>
        <v>32.808691761736256</v>
      </c>
      <c r="I28" s="278">
        <f t="shared" si="1"/>
        <v>34.449126349823068</v>
      </c>
      <c r="J28" s="278">
        <f t="shared" si="1"/>
        <v>36.171582667314226</v>
      </c>
      <c r="K28" s="278">
        <f t="shared" si="1"/>
        <v>37.980161800679937</v>
      </c>
      <c r="L28" s="278">
        <f t="shared" si="1"/>
        <v>39.879169890713939</v>
      </c>
      <c r="M28" s="278">
        <f t="shared" si="1"/>
        <v>41.873128385249636</v>
      </c>
      <c r="N28" s="278">
        <f t="shared" si="1"/>
        <v>43.966784804512123</v>
      </c>
      <c r="O28" s="83"/>
      <c r="P28" s="83"/>
      <c r="Q28" s="84"/>
      <c r="R28" s="84"/>
      <c r="S28" s="84"/>
      <c r="T28" s="86"/>
      <c r="U28" s="85"/>
    </row>
    <row r="29" spans="1:21" s="87" customFormat="1" ht="30" customHeight="1">
      <c r="A29" s="276">
        <v>25</v>
      </c>
      <c r="B29" s="205" t="s">
        <v>38</v>
      </c>
      <c r="C29" s="277">
        <f>$A$200*'[24]نرخ تسهیم هدف 9'!L27</f>
        <v>132.33286234787198</v>
      </c>
      <c r="D29" s="278">
        <f t="shared" si="1"/>
        <v>138.94950546526559</v>
      </c>
      <c r="E29" s="278">
        <f t="shared" si="1"/>
        <v>145.89698073852887</v>
      </c>
      <c r="F29" s="278">
        <f t="shared" si="1"/>
        <v>153.19182977545532</v>
      </c>
      <c r="G29" s="278">
        <f t="shared" si="1"/>
        <v>160.85142126422809</v>
      </c>
      <c r="H29" s="278">
        <f t="shared" si="1"/>
        <v>168.89399232743952</v>
      </c>
      <c r="I29" s="278">
        <f t="shared" si="1"/>
        <v>177.33869194381151</v>
      </c>
      <c r="J29" s="278">
        <f t="shared" si="1"/>
        <v>186.20562654100209</v>
      </c>
      <c r="K29" s="278">
        <f t="shared" si="1"/>
        <v>195.51590786805221</v>
      </c>
      <c r="L29" s="278">
        <f t="shared" si="1"/>
        <v>205.29170326145484</v>
      </c>
      <c r="M29" s="278">
        <f t="shared" si="1"/>
        <v>215.55628842452759</v>
      </c>
      <c r="N29" s="278">
        <f t="shared" si="1"/>
        <v>226.33410284575399</v>
      </c>
      <c r="O29" s="83"/>
      <c r="P29" s="83"/>
      <c r="Q29" s="84"/>
      <c r="R29" s="84"/>
      <c r="S29" s="84"/>
      <c r="T29" s="86"/>
      <c r="U29" s="85"/>
    </row>
    <row r="30" spans="1:21" s="87" customFormat="1" ht="30" customHeight="1">
      <c r="A30" s="276">
        <v>26</v>
      </c>
      <c r="B30" s="205" t="s">
        <v>39</v>
      </c>
      <c r="C30" s="277">
        <f>$A$200*'[24]نرخ تسهیم هدف 9'!L28</f>
        <v>93.111632772144446</v>
      </c>
      <c r="D30" s="278">
        <f t="shared" si="1"/>
        <v>97.767214410751677</v>
      </c>
      <c r="E30" s="278">
        <f t="shared" si="1"/>
        <v>102.65557513128927</v>
      </c>
      <c r="F30" s="278">
        <f t="shared" si="1"/>
        <v>107.78835388785373</v>
      </c>
      <c r="G30" s="278">
        <f t="shared" si="1"/>
        <v>113.17777158224642</v>
      </c>
      <c r="H30" s="278">
        <f t="shared" si="1"/>
        <v>118.83666016135875</v>
      </c>
      <c r="I30" s="278">
        <f t="shared" si="1"/>
        <v>124.7784931694267</v>
      </c>
      <c r="J30" s="278">
        <f t="shared" si="1"/>
        <v>131.01741782789804</v>
      </c>
      <c r="K30" s="278">
        <f t="shared" si="1"/>
        <v>137.56828871929295</v>
      </c>
      <c r="L30" s="278">
        <f t="shared" si="1"/>
        <v>144.44670315525761</v>
      </c>
      <c r="M30" s="278">
        <f t="shared" si="1"/>
        <v>151.66903831302051</v>
      </c>
      <c r="N30" s="278">
        <f t="shared" si="1"/>
        <v>159.25249022867155</v>
      </c>
      <c r="O30" s="83"/>
      <c r="P30" s="83"/>
      <c r="Q30" s="84"/>
      <c r="R30" s="84"/>
      <c r="S30" s="84"/>
      <c r="T30" s="86"/>
      <c r="U30" s="85"/>
    </row>
    <row r="31" spans="1:21" s="87" customFormat="1" ht="30" customHeight="1">
      <c r="A31" s="276">
        <v>27</v>
      </c>
      <c r="B31" s="205" t="s">
        <v>40</v>
      </c>
      <c r="C31" s="277">
        <f>$A$200*'[24]نرخ تسهیم هدف 9'!L29</f>
        <v>18.741368882212768</v>
      </c>
      <c r="D31" s="278">
        <f t="shared" si="1"/>
        <v>19.678437326323408</v>
      </c>
      <c r="E31" s="278">
        <f t="shared" si="1"/>
        <v>20.662359192639578</v>
      </c>
      <c r="F31" s="278">
        <f t="shared" si="1"/>
        <v>21.695477152271557</v>
      </c>
      <c r="G31" s="278">
        <f t="shared" si="1"/>
        <v>22.780251009885138</v>
      </c>
      <c r="H31" s="278">
        <f t="shared" si="1"/>
        <v>23.919263560379395</v>
      </c>
      <c r="I31" s="278">
        <f t="shared" si="1"/>
        <v>25.115226738398366</v>
      </c>
      <c r="J31" s="278">
        <f t="shared" si="1"/>
        <v>26.370988075318287</v>
      </c>
      <c r="K31" s="278">
        <f t="shared" si="1"/>
        <v>27.689537479084201</v>
      </c>
      <c r="L31" s="278">
        <f t="shared" si="1"/>
        <v>29.074014353038411</v>
      </c>
      <c r="M31" s="278">
        <f t="shared" si="1"/>
        <v>30.527715070690334</v>
      </c>
      <c r="N31" s="278">
        <f t="shared" si="1"/>
        <v>32.054100824224854</v>
      </c>
      <c r="O31" s="83"/>
      <c r="P31" s="83"/>
      <c r="Q31" s="84"/>
      <c r="R31" s="84"/>
      <c r="S31" s="84"/>
      <c r="T31" s="86"/>
      <c r="U31" s="85"/>
    </row>
    <row r="32" spans="1:21" s="87" customFormat="1" ht="30" customHeight="1">
      <c r="A32" s="276">
        <v>28</v>
      </c>
      <c r="B32" s="205" t="s">
        <v>41</v>
      </c>
      <c r="C32" s="277">
        <f>$A$200*'[24]نرخ تسهیم هدف 9'!L30</f>
        <v>95.185582959048659</v>
      </c>
      <c r="D32" s="278">
        <f t="shared" si="1"/>
        <v>99.9448621070011</v>
      </c>
      <c r="E32" s="278">
        <f t="shared" si="1"/>
        <v>104.94210521235117</v>
      </c>
      <c r="F32" s="278">
        <f t="shared" si="1"/>
        <v>110.18921047296872</v>
      </c>
      <c r="G32" s="278">
        <f t="shared" si="1"/>
        <v>115.69867099661717</v>
      </c>
      <c r="H32" s="278">
        <f t="shared" si="1"/>
        <v>121.48360454644803</v>
      </c>
      <c r="I32" s="278">
        <f t="shared" si="1"/>
        <v>127.55778477377044</v>
      </c>
      <c r="J32" s="278">
        <f t="shared" si="1"/>
        <v>133.93567401245897</v>
      </c>
      <c r="K32" s="278">
        <f t="shared" si="1"/>
        <v>140.63245771308192</v>
      </c>
      <c r="L32" s="278">
        <f t="shared" si="1"/>
        <v>147.66408059873604</v>
      </c>
      <c r="M32" s="278">
        <f t="shared" si="1"/>
        <v>155.04728462867286</v>
      </c>
      <c r="N32" s="278">
        <f t="shared" si="1"/>
        <v>162.79964886010652</v>
      </c>
      <c r="O32" s="83"/>
      <c r="P32" s="83"/>
      <c r="Q32" s="84"/>
      <c r="R32" s="84"/>
      <c r="S32" s="84"/>
      <c r="T32" s="86"/>
      <c r="U32" s="85"/>
    </row>
    <row r="33" spans="1:21" s="87" customFormat="1" ht="30" customHeight="1">
      <c r="A33" s="276">
        <v>29</v>
      </c>
      <c r="B33" s="205" t="s">
        <v>42</v>
      </c>
      <c r="C33" s="277">
        <f>$A$200*'[24]نرخ تسهیم هدف 9'!L31</f>
        <v>34.3436478794046</v>
      </c>
      <c r="D33" s="278">
        <f t="shared" si="1"/>
        <v>36.060830273374833</v>
      </c>
      <c r="E33" s="278">
        <f t="shared" si="1"/>
        <v>37.863871787043578</v>
      </c>
      <c r="F33" s="278">
        <f t="shared" si="1"/>
        <v>39.757065376395758</v>
      </c>
      <c r="G33" s="278">
        <f t="shared" si="1"/>
        <v>41.744918645215549</v>
      </c>
      <c r="H33" s="278">
        <f t="shared" si="1"/>
        <v>43.832164577476327</v>
      </c>
      <c r="I33" s="278">
        <f t="shared" si="1"/>
        <v>46.023772806350145</v>
      </c>
      <c r="J33" s="278">
        <f t="shared" si="1"/>
        <v>48.324961446667658</v>
      </c>
      <c r="K33" s="278">
        <f t="shared" si="1"/>
        <v>50.741209519001046</v>
      </c>
      <c r="L33" s="278">
        <f t="shared" si="1"/>
        <v>53.278269994951103</v>
      </c>
      <c r="M33" s="278">
        <f t="shared" si="1"/>
        <v>55.942183494698661</v>
      </c>
      <c r="N33" s="278">
        <f t="shared" si="1"/>
        <v>58.739292669433596</v>
      </c>
      <c r="O33" s="83"/>
      <c r="P33" s="83"/>
      <c r="Q33" s="84"/>
      <c r="R33" s="84"/>
      <c r="S33" s="84"/>
      <c r="T33" s="86"/>
      <c r="U33" s="85"/>
    </row>
    <row r="34" spans="1:21" s="87" customFormat="1" ht="30" customHeight="1">
      <c r="A34" s="276">
        <v>30</v>
      </c>
      <c r="B34" s="205" t="s">
        <v>43</v>
      </c>
      <c r="C34" s="277">
        <f>$A$200*'[24]نرخ تسهیم هدف 9'!L32</f>
        <v>117.70199218193447</v>
      </c>
      <c r="D34" s="278">
        <f t="shared" si="1"/>
        <v>123.5870917910312</v>
      </c>
      <c r="E34" s="278">
        <f t="shared" si="1"/>
        <v>129.76644638058278</v>
      </c>
      <c r="F34" s="278">
        <f t="shared" si="1"/>
        <v>136.25476869961193</v>
      </c>
      <c r="G34" s="278">
        <f t="shared" si="1"/>
        <v>143.06750713459255</v>
      </c>
      <c r="H34" s="278">
        <f t="shared" si="1"/>
        <v>150.22088249132219</v>
      </c>
      <c r="I34" s="278">
        <f t="shared" si="1"/>
        <v>157.73192661588831</v>
      </c>
      <c r="J34" s="278">
        <f t="shared" si="1"/>
        <v>165.61852294668273</v>
      </c>
      <c r="K34" s="278">
        <f t="shared" si="1"/>
        <v>173.89944909401689</v>
      </c>
      <c r="L34" s="278">
        <f t="shared" si="1"/>
        <v>182.59442154871775</v>
      </c>
      <c r="M34" s="278">
        <f t="shared" si="1"/>
        <v>191.72414262615365</v>
      </c>
      <c r="N34" s="278">
        <f t="shared" si="1"/>
        <v>201.31034975746135</v>
      </c>
      <c r="O34" s="83"/>
      <c r="P34" s="83"/>
      <c r="Q34" s="84"/>
      <c r="R34" s="84"/>
      <c r="S34" s="84"/>
      <c r="T34" s="86"/>
      <c r="U34" s="85"/>
    </row>
    <row r="35" spans="1:21" s="87" customFormat="1" ht="30" customHeight="1">
      <c r="A35" s="276">
        <v>31</v>
      </c>
      <c r="B35" s="205" t="s">
        <v>44</v>
      </c>
      <c r="C35" s="277">
        <f>$A$200*'[24]نرخ تسهیم هدف 9'!L33</f>
        <v>67.912769130531643</v>
      </c>
      <c r="D35" s="278">
        <f t="shared" si="1"/>
        <v>71.308407587058227</v>
      </c>
      <c r="E35" s="278">
        <f t="shared" si="1"/>
        <v>74.873827966411142</v>
      </c>
      <c r="F35" s="278">
        <f t="shared" si="1"/>
        <v>78.617519364731706</v>
      </c>
      <c r="G35" s="278">
        <f t="shared" si="1"/>
        <v>82.548395332968298</v>
      </c>
      <c r="H35" s="278">
        <f t="shared" si="1"/>
        <v>86.675815099616713</v>
      </c>
      <c r="I35" s="278">
        <f t="shared" si="1"/>
        <v>91.009605854597552</v>
      </c>
      <c r="J35" s="278">
        <f t="shared" si="1"/>
        <v>95.560086147327439</v>
      </c>
      <c r="K35" s="278">
        <f t="shared" si="1"/>
        <v>100.33809045469381</v>
      </c>
      <c r="L35" s="278">
        <f t="shared" si="1"/>
        <v>105.3549949774285</v>
      </c>
      <c r="M35" s="278">
        <f t="shared" si="1"/>
        <v>110.62274472629993</v>
      </c>
      <c r="N35" s="278">
        <f t="shared" si="1"/>
        <v>116.15388196261493</v>
      </c>
      <c r="O35" s="83"/>
      <c r="P35" s="83"/>
      <c r="Q35" s="84"/>
      <c r="R35" s="84"/>
      <c r="S35" s="84"/>
      <c r="T35" s="86"/>
      <c r="U35" s="85"/>
    </row>
    <row r="36" spans="1:21" s="87" customFormat="1" ht="30" customHeight="1">
      <c r="A36" s="276">
        <v>32</v>
      </c>
      <c r="B36" s="205" t="s">
        <v>45</v>
      </c>
      <c r="C36" s="277">
        <f>$A$200*'[24]نرخ تسهیم هدف 9'!L34</f>
        <v>29.412345562317594</v>
      </c>
      <c r="D36" s="278">
        <f t="shared" si="1"/>
        <v>30.882962840433475</v>
      </c>
      <c r="E36" s="278">
        <f t="shared" si="1"/>
        <v>32.427110982455147</v>
      </c>
      <c r="F36" s="278">
        <f t="shared" si="1"/>
        <v>34.048466531577908</v>
      </c>
      <c r="G36" s="278">
        <f t="shared" si="1"/>
        <v>35.750889858156803</v>
      </c>
      <c r="H36" s="278">
        <f t="shared" si="1"/>
        <v>37.538434351064645</v>
      </c>
      <c r="I36" s="278">
        <f t="shared" si="1"/>
        <v>39.415356068617875</v>
      </c>
      <c r="J36" s="278">
        <f t="shared" si="1"/>
        <v>41.386123872048771</v>
      </c>
      <c r="K36" s="278">
        <f t="shared" si="1"/>
        <v>43.455430065651214</v>
      </c>
      <c r="L36" s="278">
        <f t="shared" si="1"/>
        <v>45.628201568933775</v>
      </c>
      <c r="M36" s="278">
        <f t="shared" si="1"/>
        <v>47.909611647380466</v>
      </c>
      <c r="N36" s="278">
        <f t="shared" si="1"/>
        <v>50.305092229749491</v>
      </c>
      <c r="O36" s="83"/>
      <c r="P36" s="83"/>
      <c r="Q36" s="84"/>
      <c r="R36" s="84"/>
      <c r="S36" s="84"/>
      <c r="T36" s="86"/>
      <c r="U36" s="85"/>
    </row>
    <row r="37" spans="1:21" s="90" customFormat="1" ht="30" customHeight="1">
      <c r="A37" s="464" t="s">
        <v>107</v>
      </c>
      <c r="B37" s="464"/>
      <c r="C37" s="277">
        <f t="shared" ref="C37:N37" si="2">SUM(C5:C36)</f>
        <v>2268.055615625</v>
      </c>
      <c r="D37" s="277">
        <f t="shared" si="2"/>
        <v>2381.4583964062499</v>
      </c>
      <c r="E37" s="277">
        <f t="shared" si="2"/>
        <v>2500.5313162265625</v>
      </c>
      <c r="F37" s="277">
        <f t="shared" si="2"/>
        <v>2625.5578820378914</v>
      </c>
      <c r="G37" s="277">
        <f t="shared" si="2"/>
        <v>2756.8357761397851</v>
      </c>
      <c r="H37" s="277">
        <f t="shared" si="2"/>
        <v>2894.6775649467754</v>
      </c>
      <c r="I37" s="277">
        <f t="shared" si="2"/>
        <v>3039.4114431941143</v>
      </c>
      <c r="J37" s="277">
        <f t="shared" si="2"/>
        <v>3191.3820153538209</v>
      </c>
      <c r="K37" s="277">
        <f t="shared" si="2"/>
        <v>3350.9511161215114</v>
      </c>
      <c r="L37" s="277">
        <f t="shared" si="2"/>
        <v>3518.4986719275867</v>
      </c>
      <c r="M37" s="277">
        <f t="shared" si="2"/>
        <v>3694.4236055239671</v>
      </c>
      <c r="N37" s="277">
        <f t="shared" si="2"/>
        <v>3879.1447858001634</v>
      </c>
      <c r="O37" s="83"/>
      <c r="P37" s="83"/>
      <c r="Q37" s="84"/>
      <c r="R37" s="84"/>
      <c r="S37" s="84"/>
      <c r="T37" s="88"/>
      <c r="U37" s="89"/>
    </row>
    <row r="192" spans="10:10" s="35" customFormat="1" ht="35.1" customHeight="1">
      <c r="J192" s="80"/>
    </row>
    <row r="199" spans="1:20" s="91" customFormat="1" ht="35.1" customHeight="1">
      <c r="D199" s="92"/>
      <c r="E199" s="92"/>
      <c r="F199" s="92"/>
      <c r="G199" s="92"/>
      <c r="H199" s="92"/>
      <c r="I199" s="92"/>
      <c r="J199" s="92"/>
      <c r="K199" s="92"/>
      <c r="L199" s="92"/>
      <c r="M199" s="92"/>
      <c r="N199" s="93"/>
      <c r="O199" s="94"/>
      <c r="P199" s="94"/>
      <c r="Q199" s="94"/>
      <c r="R199" s="94"/>
      <c r="T199" s="95"/>
    </row>
    <row r="200" spans="1:20" s="47" customFormat="1" ht="35.1" hidden="1" customHeight="1">
      <c r="A200" s="47">
        <v>2268.0556156250004</v>
      </c>
      <c r="B200" s="47">
        <v>131.67985937500001</v>
      </c>
      <c r="C200" s="47">
        <v>0</v>
      </c>
      <c r="D200" s="47">
        <v>286</v>
      </c>
      <c r="E200" s="48">
        <v>300.3</v>
      </c>
      <c r="F200" s="48">
        <v>315.315</v>
      </c>
      <c r="G200" s="48">
        <v>331.08075000000002</v>
      </c>
      <c r="H200" s="48">
        <v>347.63478750000002</v>
      </c>
      <c r="I200" s="48"/>
      <c r="J200" s="48"/>
      <c r="K200" s="48"/>
      <c r="L200" s="48"/>
      <c r="M200" s="48"/>
      <c r="N200" s="49"/>
      <c r="O200" s="50"/>
      <c r="P200" s="50"/>
      <c r="Q200" s="50"/>
      <c r="R200" s="50"/>
      <c r="T200" s="51"/>
    </row>
    <row r="201" spans="1:20" s="91" customFormat="1" ht="35.1" customHeight="1">
      <c r="D201" s="92"/>
      <c r="E201" s="92"/>
      <c r="F201" s="92"/>
      <c r="G201" s="92"/>
      <c r="H201" s="92"/>
      <c r="I201" s="92"/>
      <c r="J201" s="92"/>
      <c r="K201" s="92"/>
      <c r="L201" s="92"/>
      <c r="M201" s="92"/>
      <c r="N201" s="93"/>
      <c r="O201" s="94"/>
      <c r="P201" s="94"/>
      <c r="Q201" s="94"/>
      <c r="R201" s="94"/>
      <c r="T201" s="95"/>
    </row>
  </sheetData>
  <mergeCells count="17">
    <mergeCell ref="A37:B37"/>
    <mergeCell ref="I3:I4"/>
    <mergeCell ref="J3:J4"/>
    <mergeCell ref="K3:K4"/>
    <mergeCell ref="L3:L4"/>
    <mergeCell ref="M3:M4"/>
    <mergeCell ref="N3:N4"/>
    <mergeCell ref="A1:N1"/>
    <mergeCell ref="A2:A4"/>
    <mergeCell ref="B2:B4"/>
    <mergeCell ref="C2:C4"/>
    <mergeCell ref="D2:D4"/>
    <mergeCell ref="E2:I2"/>
    <mergeCell ref="J2:N2"/>
    <mergeCell ref="E3:F3"/>
    <mergeCell ref="G3:G4"/>
    <mergeCell ref="H3:H4"/>
  </mergeCells>
  <pageMargins left="0.7" right="0.7" top="0.75" bottom="0.75"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218"/>
  <sheetViews>
    <sheetView showGridLines="0" rightToLeft="1" workbookViewId="0">
      <pane xSplit="25" topLeftCell="Z1" activePane="topRight" state="frozen"/>
      <selection pane="topRight" sqref="A1:M1"/>
    </sheetView>
  </sheetViews>
  <sheetFormatPr defaultColWidth="28.6640625" defaultRowHeight="5.65" customHeight="1"/>
  <cols>
    <col min="1" max="1" width="9.33203125" style="3" customWidth="1"/>
    <col min="2" max="2" width="55.5" style="3" customWidth="1"/>
    <col min="3" max="3" width="9" style="125" customWidth="1"/>
    <col min="4" max="9" width="6.6640625" style="126" customWidth="1"/>
    <col min="10" max="12" width="12.5" style="3" customWidth="1"/>
    <col min="13" max="13" width="12.1640625" style="2" customWidth="1"/>
    <col min="14" max="18" width="10.1640625" style="29" hidden="1" customWidth="1"/>
    <col min="19" max="23" width="10.33203125" style="29" hidden="1" customWidth="1"/>
    <col min="24" max="25" width="10.1640625" style="30" hidden="1" customWidth="1"/>
    <col min="26" max="26" width="17.83203125" style="121" customWidth="1"/>
    <col min="27" max="27" width="28.6640625" style="2"/>
    <col min="28" max="16384" width="28.6640625" style="3"/>
  </cols>
  <sheetData>
    <row r="1" spans="1:25" ht="89.25" customHeight="1">
      <c r="A1" s="465" t="s">
        <v>356</v>
      </c>
      <c r="B1" s="465"/>
      <c r="C1" s="465"/>
      <c r="D1" s="465"/>
      <c r="E1" s="465"/>
      <c r="F1" s="465"/>
      <c r="G1" s="465"/>
      <c r="H1" s="465"/>
      <c r="I1" s="465"/>
      <c r="J1" s="465"/>
      <c r="K1" s="465"/>
      <c r="L1" s="465"/>
      <c r="M1" s="465"/>
    </row>
    <row r="2" spans="1:25" ht="33.75" customHeight="1">
      <c r="A2" s="262">
        <f>$M$35</f>
        <v>640</v>
      </c>
      <c r="B2" s="430" t="s">
        <v>134</v>
      </c>
      <c r="C2" s="383" t="s">
        <v>135</v>
      </c>
      <c r="D2" s="384" t="s">
        <v>136</v>
      </c>
      <c r="E2" s="384"/>
      <c r="F2" s="384"/>
      <c r="G2" s="384"/>
      <c r="H2" s="384" t="s">
        <v>137</v>
      </c>
      <c r="I2" s="384" t="s">
        <v>138</v>
      </c>
      <c r="J2" s="385" t="s">
        <v>1411</v>
      </c>
      <c r="K2" s="385" t="s">
        <v>1412</v>
      </c>
      <c r="L2" s="385" t="s">
        <v>141</v>
      </c>
      <c r="M2" s="386" t="s">
        <v>142</v>
      </c>
    </row>
    <row r="3" spans="1:25" ht="31.5" customHeight="1">
      <c r="A3" s="263" t="s">
        <v>0</v>
      </c>
      <c r="B3" s="430"/>
      <c r="C3" s="383"/>
      <c r="D3" s="208" t="s">
        <v>143</v>
      </c>
      <c r="E3" s="208" t="s">
        <v>144</v>
      </c>
      <c r="F3" s="208" t="s">
        <v>145</v>
      </c>
      <c r="G3" s="208" t="s">
        <v>146</v>
      </c>
      <c r="H3" s="384"/>
      <c r="I3" s="384"/>
      <c r="J3" s="385"/>
      <c r="K3" s="385"/>
      <c r="L3" s="385"/>
      <c r="M3" s="386"/>
      <c r="N3" s="29" t="s">
        <v>147</v>
      </c>
      <c r="O3" s="29" t="s">
        <v>148</v>
      </c>
      <c r="P3" s="29" t="s">
        <v>149</v>
      </c>
      <c r="Q3" s="29" t="s">
        <v>150</v>
      </c>
      <c r="R3" s="29" t="s">
        <v>147</v>
      </c>
      <c r="S3" s="29" t="s">
        <v>148</v>
      </c>
      <c r="T3" s="29" t="s">
        <v>149</v>
      </c>
      <c r="U3" s="29" t="s">
        <v>150</v>
      </c>
      <c r="V3" s="29" t="s">
        <v>164</v>
      </c>
      <c r="W3" s="29" t="s">
        <v>165</v>
      </c>
      <c r="X3" s="30" t="s">
        <v>153</v>
      </c>
      <c r="Y3" s="30" t="s">
        <v>154</v>
      </c>
    </row>
    <row r="4" spans="1:25" s="2" customFormat="1" ht="54.95" customHeight="1">
      <c r="A4" s="209">
        <v>1</v>
      </c>
      <c r="B4" s="250" t="s">
        <v>357</v>
      </c>
      <c r="C4" s="271">
        <v>0.42</v>
      </c>
      <c r="D4" s="272">
        <v>0</v>
      </c>
      <c r="E4" s="272">
        <v>1</v>
      </c>
      <c r="F4" s="272">
        <v>1</v>
      </c>
      <c r="G4" s="272">
        <v>0</v>
      </c>
      <c r="H4" s="272">
        <v>1</v>
      </c>
      <c r="I4" s="272">
        <v>1</v>
      </c>
      <c r="J4" s="237">
        <v>0</v>
      </c>
      <c r="K4" s="237">
        <v>0</v>
      </c>
      <c r="L4" s="246">
        <f t="shared" ref="L4:L33" si="0">(((J4*C4)/$A$2)*D4)+(((J4*C4)/$A$2)*E4)+(((J4*C4)/$A$2)*F4)+(((J4*C4)/$A$2)*G4)</f>
        <v>0</v>
      </c>
      <c r="M4" s="247">
        <f t="shared" ref="M4:M33" si="1">(((K4*C4)/$A$2)*D4)+(((K4*C4)/$A$2)*E4)+(((K4*C4)/$A$2)*F4)+(((K4*C4)/$A$2)*G4)</f>
        <v>0</v>
      </c>
      <c r="N4" s="122">
        <f t="shared" ref="N4:N33" si="2">J4*D4*C4/$A$2</f>
        <v>0</v>
      </c>
      <c r="O4" s="122">
        <f t="shared" ref="O4:O33" si="3">J4*E4*C4/$A$2</f>
        <v>0</v>
      </c>
      <c r="P4" s="122">
        <f t="shared" ref="P4:P33" si="4">J4*F4*C4/$A$2</f>
        <v>0</v>
      </c>
      <c r="Q4" s="122">
        <f t="shared" ref="Q4:Q33" si="5">J4*G4*C4/$A$2</f>
        <v>0</v>
      </c>
      <c r="R4" s="122">
        <f t="shared" ref="R4:R33" si="6">K4*D4*C4/$A$2</f>
        <v>0</v>
      </c>
      <c r="S4" s="122">
        <f t="shared" ref="S4:S33" si="7">K4*E4*C4/$A$2</f>
        <v>0</v>
      </c>
      <c r="T4" s="122">
        <f t="shared" ref="T4:T33" si="8">K4*F4*C4/$A$2</f>
        <v>0</v>
      </c>
      <c r="U4" s="122">
        <f t="shared" ref="U4:U33" si="9">K4*G4*C4/$A$2</f>
        <v>0</v>
      </c>
      <c r="V4" s="30">
        <f t="shared" ref="V4:V33" si="10">((L4/15)*((I4+H4)-2))</f>
        <v>0</v>
      </c>
      <c r="W4" s="30">
        <f t="shared" ref="W4:W33" si="11">((M4/15)*((I4+H4)-2))</f>
        <v>0</v>
      </c>
      <c r="X4" s="30">
        <f t="shared" ref="X4:Y19" si="12">L4*(V4/(V4-0.0000001))</f>
        <v>0</v>
      </c>
      <c r="Y4" s="30">
        <f t="shared" si="12"/>
        <v>0</v>
      </c>
    </row>
    <row r="5" spans="1:25" s="2" customFormat="1" ht="54.95" customHeight="1">
      <c r="A5" s="209">
        <v>2</v>
      </c>
      <c r="B5" s="250" t="s">
        <v>358</v>
      </c>
      <c r="C5" s="271">
        <v>0.78</v>
      </c>
      <c r="D5" s="272">
        <v>0</v>
      </c>
      <c r="E5" s="272">
        <v>1</v>
      </c>
      <c r="F5" s="272">
        <v>1</v>
      </c>
      <c r="G5" s="272">
        <v>0</v>
      </c>
      <c r="H5" s="272">
        <v>1</v>
      </c>
      <c r="I5" s="272">
        <v>1</v>
      </c>
      <c r="J5" s="237">
        <v>0</v>
      </c>
      <c r="K5" s="237">
        <v>0</v>
      </c>
      <c r="L5" s="246">
        <f t="shared" si="0"/>
        <v>0</v>
      </c>
      <c r="M5" s="247">
        <f t="shared" si="1"/>
        <v>0</v>
      </c>
      <c r="N5" s="122">
        <f t="shared" si="2"/>
        <v>0</v>
      </c>
      <c r="O5" s="122">
        <f t="shared" si="3"/>
        <v>0</v>
      </c>
      <c r="P5" s="122">
        <f t="shared" si="4"/>
        <v>0</v>
      </c>
      <c r="Q5" s="122">
        <f t="shared" si="5"/>
        <v>0</v>
      </c>
      <c r="R5" s="122">
        <f t="shared" si="6"/>
        <v>0</v>
      </c>
      <c r="S5" s="122">
        <f t="shared" si="7"/>
        <v>0</v>
      </c>
      <c r="T5" s="122">
        <f t="shared" si="8"/>
        <v>0</v>
      </c>
      <c r="U5" s="122">
        <f t="shared" si="9"/>
        <v>0</v>
      </c>
      <c r="V5" s="30">
        <f t="shared" si="10"/>
        <v>0</v>
      </c>
      <c r="W5" s="30">
        <f t="shared" si="11"/>
        <v>0</v>
      </c>
      <c r="X5" s="30">
        <f t="shared" si="12"/>
        <v>0</v>
      </c>
      <c r="Y5" s="30">
        <f t="shared" si="12"/>
        <v>0</v>
      </c>
    </row>
    <row r="6" spans="1:25" s="2" customFormat="1" ht="54.95" customHeight="1">
      <c r="A6" s="209">
        <v>3</v>
      </c>
      <c r="B6" s="250" t="s">
        <v>359</v>
      </c>
      <c r="C6" s="271">
        <v>0.95</v>
      </c>
      <c r="D6" s="272">
        <v>0</v>
      </c>
      <c r="E6" s="272">
        <v>1</v>
      </c>
      <c r="F6" s="272">
        <v>1</v>
      </c>
      <c r="G6" s="272">
        <v>0</v>
      </c>
      <c r="H6" s="272">
        <v>1</v>
      </c>
      <c r="I6" s="272">
        <v>1</v>
      </c>
      <c r="J6" s="237">
        <v>0</v>
      </c>
      <c r="K6" s="237">
        <v>0</v>
      </c>
      <c r="L6" s="246">
        <f t="shared" si="0"/>
        <v>0</v>
      </c>
      <c r="M6" s="247">
        <f t="shared" si="1"/>
        <v>0</v>
      </c>
      <c r="N6" s="122">
        <f t="shared" si="2"/>
        <v>0</v>
      </c>
      <c r="O6" s="122">
        <f t="shared" si="3"/>
        <v>0</v>
      </c>
      <c r="P6" s="122">
        <f t="shared" si="4"/>
        <v>0</v>
      </c>
      <c r="Q6" s="122">
        <f t="shared" si="5"/>
        <v>0</v>
      </c>
      <c r="R6" s="122">
        <f t="shared" si="6"/>
        <v>0</v>
      </c>
      <c r="S6" s="122">
        <f t="shared" si="7"/>
        <v>0</v>
      </c>
      <c r="T6" s="122">
        <f t="shared" si="8"/>
        <v>0</v>
      </c>
      <c r="U6" s="122">
        <f t="shared" si="9"/>
        <v>0</v>
      </c>
      <c r="V6" s="30">
        <f t="shared" si="10"/>
        <v>0</v>
      </c>
      <c r="W6" s="30">
        <f t="shared" si="11"/>
        <v>0</v>
      </c>
      <c r="X6" s="30">
        <f t="shared" si="12"/>
        <v>0</v>
      </c>
      <c r="Y6" s="30">
        <f t="shared" si="12"/>
        <v>0</v>
      </c>
    </row>
    <row r="7" spans="1:25" s="2" customFormat="1" ht="54.95" customHeight="1">
      <c r="A7" s="209">
        <v>4</v>
      </c>
      <c r="B7" s="250" t="s">
        <v>360</v>
      </c>
      <c r="C7" s="271">
        <v>0.75</v>
      </c>
      <c r="D7" s="272">
        <v>0</v>
      </c>
      <c r="E7" s="272">
        <v>1</v>
      </c>
      <c r="F7" s="272">
        <v>1</v>
      </c>
      <c r="G7" s="272">
        <v>0</v>
      </c>
      <c r="H7" s="272">
        <v>1</v>
      </c>
      <c r="I7" s="272">
        <v>1</v>
      </c>
      <c r="J7" s="237">
        <v>0</v>
      </c>
      <c r="K7" s="237">
        <v>0</v>
      </c>
      <c r="L7" s="246">
        <f t="shared" si="0"/>
        <v>0</v>
      </c>
      <c r="M7" s="247">
        <f t="shared" si="1"/>
        <v>0</v>
      </c>
      <c r="N7" s="122">
        <f t="shared" si="2"/>
        <v>0</v>
      </c>
      <c r="O7" s="122">
        <f t="shared" si="3"/>
        <v>0</v>
      </c>
      <c r="P7" s="122">
        <f t="shared" si="4"/>
        <v>0</v>
      </c>
      <c r="Q7" s="122">
        <f t="shared" si="5"/>
        <v>0</v>
      </c>
      <c r="R7" s="122">
        <f t="shared" si="6"/>
        <v>0</v>
      </c>
      <c r="S7" s="122">
        <f t="shared" si="7"/>
        <v>0</v>
      </c>
      <c r="T7" s="122">
        <f t="shared" si="8"/>
        <v>0</v>
      </c>
      <c r="U7" s="122">
        <f t="shared" si="9"/>
        <v>0</v>
      </c>
      <c r="V7" s="30">
        <f t="shared" si="10"/>
        <v>0</v>
      </c>
      <c r="W7" s="30">
        <f t="shared" si="11"/>
        <v>0</v>
      </c>
      <c r="X7" s="30">
        <f t="shared" si="12"/>
        <v>0</v>
      </c>
      <c r="Y7" s="30">
        <f t="shared" si="12"/>
        <v>0</v>
      </c>
    </row>
    <row r="8" spans="1:25" s="2" customFormat="1" ht="54.95" customHeight="1">
      <c r="A8" s="209">
        <v>5</v>
      </c>
      <c r="B8" s="250" t="s">
        <v>361</v>
      </c>
      <c r="C8" s="271">
        <v>0.64</v>
      </c>
      <c r="D8" s="272">
        <v>0</v>
      </c>
      <c r="E8" s="272">
        <v>1</v>
      </c>
      <c r="F8" s="272">
        <v>1</v>
      </c>
      <c r="G8" s="272">
        <v>0</v>
      </c>
      <c r="H8" s="272">
        <v>1</v>
      </c>
      <c r="I8" s="272">
        <v>1</v>
      </c>
      <c r="J8" s="237">
        <v>0</v>
      </c>
      <c r="K8" s="237">
        <v>0</v>
      </c>
      <c r="L8" s="246">
        <f t="shared" si="0"/>
        <v>0</v>
      </c>
      <c r="M8" s="247">
        <f t="shared" si="1"/>
        <v>0</v>
      </c>
      <c r="N8" s="122">
        <f t="shared" si="2"/>
        <v>0</v>
      </c>
      <c r="O8" s="122">
        <f t="shared" si="3"/>
        <v>0</v>
      </c>
      <c r="P8" s="122">
        <f t="shared" si="4"/>
        <v>0</v>
      </c>
      <c r="Q8" s="122">
        <f t="shared" si="5"/>
        <v>0</v>
      </c>
      <c r="R8" s="122">
        <f t="shared" si="6"/>
        <v>0</v>
      </c>
      <c r="S8" s="122">
        <f t="shared" si="7"/>
        <v>0</v>
      </c>
      <c r="T8" s="122">
        <f t="shared" si="8"/>
        <v>0</v>
      </c>
      <c r="U8" s="122">
        <f t="shared" si="9"/>
        <v>0</v>
      </c>
      <c r="V8" s="30">
        <f t="shared" si="10"/>
        <v>0</v>
      </c>
      <c r="W8" s="30">
        <f t="shared" si="11"/>
        <v>0</v>
      </c>
      <c r="X8" s="30">
        <f t="shared" si="12"/>
        <v>0</v>
      </c>
      <c r="Y8" s="30">
        <f t="shared" si="12"/>
        <v>0</v>
      </c>
    </row>
    <row r="9" spans="1:25" s="2" customFormat="1" ht="54.95" customHeight="1">
      <c r="A9" s="209">
        <v>6</v>
      </c>
      <c r="B9" s="250" t="s">
        <v>362</v>
      </c>
      <c r="C9" s="271">
        <v>0.48</v>
      </c>
      <c r="D9" s="272">
        <v>0</v>
      </c>
      <c r="E9" s="272">
        <v>1</v>
      </c>
      <c r="F9" s="272">
        <v>1</v>
      </c>
      <c r="G9" s="272">
        <v>0</v>
      </c>
      <c r="H9" s="272">
        <v>1</v>
      </c>
      <c r="I9" s="272">
        <v>1</v>
      </c>
      <c r="J9" s="237">
        <v>0</v>
      </c>
      <c r="K9" s="237">
        <v>0</v>
      </c>
      <c r="L9" s="246">
        <f t="shared" si="0"/>
        <v>0</v>
      </c>
      <c r="M9" s="247">
        <f t="shared" si="1"/>
        <v>0</v>
      </c>
      <c r="N9" s="122">
        <f t="shared" si="2"/>
        <v>0</v>
      </c>
      <c r="O9" s="122">
        <f t="shared" si="3"/>
        <v>0</v>
      </c>
      <c r="P9" s="122">
        <f t="shared" si="4"/>
        <v>0</v>
      </c>
      <c r="Q9" s="122">
        <f t="shared" si="5"/>
        <v>0</v>
      </c>
      <c r="R9" s="122">
        <f t="shared" si="6"/>
        <v>0</v>
      </c>
      <c r="S9" s="122">
        <f t="shared" si="7"/>
        <v>0</v>
      </c>
      <c r="T9" s="122">
        <f t="shared" si="8"/>
        <v>0</v>
      </c>
      <c r="U9" s="122">
        <f t="shared" si="9"/>
        <v>0</v>
      </c>
      <c r="V9" s="30">
        <f t="shared" si="10"/>
        <v>0</v>
      </c>
      <c r="W9" s="30">
        <f t="shared" si="11"/>
        <v>0</v>
      </c>
      <c r="X9" s="30">
        <f t="shared" si="12"/>
        <v>0</v>
      </c>
      <c r="Y9" s="30">
        <f t="shared" si="12"/>
        <v>0</v>
      </c>
    </row>
    <row r="10" spans="1:25" s="2" customFormat="1" ht="54.95" customHeight="1">
      <c r="A10" s="209">
        <v>7</v>
      </c>
      <c r="B10" s="250" t="s">
        <v>363</v>
      </c>
      <c r="C10" s="271">
        <v>0.51</v>
      </c>
      <c r="D10" s="272">
        <v>0</v>
      </c>
      <c r="E10" s="272">
        <v>2</v>
      </c>
      <c r="F10" s="272">
        <v>1</v>
      </c>
      <c r="G10" s="272">
        <v>0</v>
      </c>
      <c r="H10" s="272">
        <v>1</v>
      </c>
      <c r="I10" s="272">
        <v>1</v>
      </c>
      <c r="J10" s="237">
        <v>0</v>
      </c>
      <c r="K10" s="237">
        <v>0</v>
      </c>
      <c r="L10" s="246">
        <f t="shared" si="0"/>
        <v>0</v>
      </c>
      <c r="M10" s="247">
        <f t="shared" si="1"/>
        <v>0</v>
      </c>
      <c r="N10" s="122">
        <f t="shared" si="2"/>
        <v>0</v>
      </c>
      <c r="O10" s="122">
        <f t="shared" si="3"/>
        <v>0</v>
      </c>
      <c r="P10" s="122">
        <f t="shared" si="4"/>
        <v>0</v>
      </c>
      <c r="Q10" s="122">
        <f t="shared" si="5"/>
        <v>0</v>
      </c>
      <c r="R10" s="122">
        <f t="shared" si="6"/>
        <v>0</v>
      </c>
      <c r="S10" s="122">
        <f t="shared" si="7"/>
        <v>0</v>
      </c>
      <c r="T10" s="122">
        <f t="shared" si="8"/>
        <v>0</v>
      </c>
      <c r="U10" s="122">
        <f t="shared" si="9"/>
        <v>0</v>
      </c>
      <c r="V10" s="30">
        <f t="shared" si="10"/>
        <v>0</v>
      </c>
      <c r="W10" s="30">
        <f t="shared" si="11"/>
        <v>0</v>
      </c>
      <c r="X10" s="30">
        <f t="shared" si="12"/>
        <v>0</v>
      </c>
      <c r="Y10" s="30">
        <f t="shared" si="12"/>
        <v>0</v>
      </c>
    </row>
    <row r="11" spans="1:25" s="2" customFormat="1" ht="54.95" customHeight="1">
      <c r="A11" s="209">
        <v>8</v>
      </c>
      <c r="B11" s="250" t="s">
        <v>364</v>
      </c>
      <c r="C11" s="271">
        <v>0.26</v>
      </c>
      <c r="D11" s="272">
        <v>0</v>
      </c>
      <c r="E11" s="272">
        <v>1</v>
      </c>
      <c r="F11" s="272">
        <v>1</v>
      </c>
      <c r="G11" s="272">
        <v>0</v>
      </c>
      <c r="H11" s="272">
        <v>1</v>
      </c>
      <c r="I11" s="272">
        <v>1</v>
      </c>
      <c r="J11" s="237">
        <v>0</v>
      </c>
      <c r="K11" s="237">
        <v>0</v>
      </c>
      <c r="L11" s="246">
        <f t="shared" si="0"/>
        <v>0</v>
      </c>
      <c r="M11" s="247">
        <f t="shared" si="1"/>
        <v>0</v>
      </c>
      <c r="N11" s="122">
        <f t="shared" si="2"/>
        <v>0</v>
      </c>
      <c r="O11" s="122">
        <f t="shared" si="3"/>
        <v>0</v>
      </c>
      <c r="P11" s="122">
        <f t="shared" si="4"/>
        <v>0</v>
      </c>
      <c r="Q11" s="122">
        <f t="shared" si="5"/>
        <v>0</v>
      </c>
      <c r="R11" s="122">
        <f t="shared" si="6"/>
        <v>0</v>
      </c>
      <c r="S11" s="122">
        <f t="shared" si="7"/>
        <v>0</v>
      </c>
      <c r="T11" s="122">
        <f t="shared" si="8"/>
        <v>0</v>
      </c>
      <c r="U11" s="122">
        <f t="shared" si="9"/>
        <v>0</v>
      </c>
      <c r="V11" s="30">
        <f t="shared" si="10"/>
        <v>0</v>
      </c>
      <c r="W11" s="30">
        <f t="shared" si="11"/>
        <v>0</v>
      </c>
      <c r="X11" s="30">
        <f t="shared" si="12"/>
        <v>0</v>
      </c>
      <c r="Y11" s="30">
        <f t="shared" si="12"/>
        <v>0</v>
      </c>
    </row>
    <row r="12" spans="1:25" s="2" customFormat="1" ht="54.95" customHeight="1">
      <c r="A12" s="209">
        <v>9</v>
      </c>
      <c r="B12" s="250" t="s">
        <v>365</v>
      </c>
      <c r="C12" s="271">
        <v>0.21</v>
      </c>
      <c r="D12" s="272">
        <v>0</v>
      </c>
      <c r="E12" s="272">
        <v>1</v>
      </c>
      <c r="F12" s="272">
        <v>1</v>
      </c>
      <c r="G12" s="272">
        <v>0</v>
      </c>
      <c r="H12" s="272">
        <v>1</v>
      </c>
      <c r="I12" s="272">
        <v>1</v>
      </c>
      <c r="J12" s="237">
        <v>0</v>
      </c>
      <c r="K12" s="237">
        <v>0</v>
      </c>
      <c r="L12" s="246">
        <f t="shared" si="0"/>
        <v>0</v>
      </c>
      <c r="M12" s="247">
        <f t="shared" si="1"/>
        <v>0</v>
      </c>
      <c r="N12" s="122">
        <f t="shared" si="2"/>
        <v>0</v>
      </c>
      <c r="O12" s="122">
        <f t="shared" si="3"/>
        <v>0</v>
      </c>
      <c r="P12" s="122">
        <f t="shared" si="4"/>
        <v>0</v>
      </c>
      <c r="Q12" s="122">
        <f t="shared" si="5"/>
        <v>0</v>
      </c>
      <c r="R12" s="122">
        <f t="shared" si="6"/>
        <v>0</v>
      </c>
      <c r="S12" s="122">
        <f t="shared" si="7"/>
        <v>0</v>
      </c>
      <c r="T12" s="122">
        <f t="shared" si="8"/>
        <v>0</v>
      </c>
      <c r="U12" s="122">
        <f t="shared" si="9"/>
        <v>0</v>
      </c>
      <c r="V12" s="30">
        <f t="shared" si="10"/>
        <v>0</v>
      </c>
      <c r="W12" s="30">
        <f t="shared" si="11"/>
        <v>0</v>
      </c>
      <c r="X12" s="30">
        <f t="shared" si="12"/>
        <v>0</v>
      </c>
      <c r="Y12" s="30">
        <f t="shared" si="12"/>
        <v>0</v>
      </c>
    </row>
    <row r="13" spans="1:25" s="2" customFormat="1" ht="54.95" customHeight="1">
      <c r="A13" s="209">
        <v>10</v>
      </c>
      <c r="B13" s="250" t="s">
        <v>291</v>
      </c>
      <c r="C13" s="271">
        <v>0.04</v>
      </c>
      <c r="D13" s="272">
        <v>0</v>
      </c>
      <c r="E13" s="272">
        <v>0</v>
      </c>
      <c r="F13" s="272">
        <v>1</v>
      </c>
      <c r="G13" s="272">
        <v>0</v>
      </c>
      <c r="H13" s="272">
        <v>1</v>
      </c>
      <c r="I13" s="272">
        <v>1</v>
      </c>
      <c r="J13" s="237">
        <v>0</v>
      </c>
      <c r="K13" s="237">
        <v>0</v>
      </c>
      <c r="L13" s="246">
        <f t="shared" si="0"/>
        <v>0</v>
      </c>
      <c r="M13" s="247">
        <f t="shared" si="1"/>
        <v>0</v>
      </c>
      <c r="N13" s="122">
        <f t="shared" si="2"/>
        <v>0</v>
      </c>
      <c r="O13" s="122">
        <f t="shared" si="3"/>
        <v>0</v>
      </c>
      <c r="P13" s="122">
        <f t="shared" si="4"/>
        <v>0</v>
      </c>
      <c r="Q13" s="122">
        <f t="shared" si="5"/>
        <v>0</v>
      </c>
      <c r="R13" s="122">
        <f t="shared" si="6"/>
        <v>0</v>
      </c>
      <c r="S13" s="122">
        <f t="shared" si="7"/>
        <v>0</v>
      </c>
      <c r="T13" s="122">
        <f t="shared" si="8"/>
        <v>0</v>
      </c>
      <c r="U13" s="122">
        <f t="shared" si="9"/>
        <v>0</v>
      </c>
      <c r="V13" s="30">
        <f t="shared" si="10"/>
        <v>0</v>
      </c>
      <c r="W13" s="30">
        <f t="shared" si="11"/>
        <v>0</v>
      </c>
      <c r="X13" s="30">
        <f t="shared" si="12"/>
        <v>0</v>
      </c>
      <c r="Y13" s="30">
        <f t="shared" si="12"/>
        <v>0</v>
      </c>
    </row>
    <row r="14" spans="1:25" s="2" customFormat="1" ht="54.95" customHeight="1">
      <c r="A14" s="209">
        <v>11</v>
      </c>
      <c r="B14" s="250" t="s">
        <v>366</v>
      </c>
      <c r="C14" s="271">
        <v>0.03</v>
      </c>
      <c r="D14" s="272">
        <v>0</v>
      </c>
      <c r="E14" s="272">
        <v>1</v>
      </c>
      <c r="F14" s="272">
        <v>1</v>
      </c>
      <c r="G14" s="272">
        <v>0</v>
      </c>
      <c r="H14" s="272">
        <v>1</v>
      </c>
      <c r="I14" s="272">
        <v>1</v>
      </c>
      <c r="J14" s="237">
        <v>0</v>
      </c>
      <c r="K14" s="237">
        <v>0</v>
      </c>
      <c r="L14" s="246">
        <f t="shared" si="0"/>
        <v>0</v>
      </c>
      <c r="M14" s="247">
        <f t="shared" si="1"/>
        <v>0</v>
      </c>
      <c r="N14" s="122">
        <f t="shared" si="2"/>
        <v>0</v>
      </c>
      <c r="O14" s="122">
        <f t="shared" si="3"/>
        <v>0</v>
      </c>
      <c r="P14" s="122">
        <f t="shared" si="4"/>
        <v>0</v>
      </c>
      <c r="Q14" s="122">
        <f t="shared" si="5"/>
        <v>0</v>
      </c>
      <c r="R14" s="122">
        <f t="shared" si="6"/>
        <v>0</v>
      </c>
      <c r="S14" s="122">
        <f t="shared" si="7"/>
        <v>0</v>
      </c>
      <c r="T14" s="122">
        <f t="shared" si="8"/>
        <v>0</v>
      </c>
      <c r="U14" s="122">
        <f t="shared" si="9"/>
        <v>0</v>
      </c>
      <c r="V14" s="30">
        <f t="shared" si="10"/>
        <v>0</v>
      </c>
      <c r="W14" s="30">
        <f t="shared" si="11"/>
        <v>0</v>
      </c>
      <c r="X14" s="30">
        <f t="shared" si="12"/>
        <v>0</v>
      </c>
      <c r="Y14" s="30">
        <f t="shared" si="12"/>
        <v>0</v>
      </c>
    </row>
    <row r="15" spans="1:25" s="2" customFormat="1" ht="54.95" customHeight="1">
      <c r="A15" s="209">
        <v>12</v>
      </c>
      <c r="B15" s="250" t="s">
        <v>367</v>
      </c>
      <c r="C15" s="271">
        <v>1.1000000000000001</v>
      </c>
      <c r="D15" s="272">
        <v>0</v>
      </c>
      <c r="E15" s="272">
        <v>1</v>
      </c>
      <c r="F15" s="272">
        <v>1</v>
      </c>
      <c r="G15" s="272">
        <v>0</v>
      </c>
      <c r="H15" s="272">
        <v>1</v>
      </c>
      <c r="I15" s="272">
        <v>1</v>
      </c>
      <c r="J15" s="237">
        <v>0</v>
      </c>
      <c r="K15" s="237">
        <v>0</v>
      </c>
      <c r="L15" s="246">
        <f t="shared" si="0"/>
        <v>0</v>
      </c>
      <c r="M15" s="247">
        <f t="shared" si="1"/>
        <v>0</v>
      </c>
      <c r="N15" s="122">
        <f t="shared" si="2"/>
        <v>0</v>
      </c>
      <c r="O15" s="122">
        <f t="shared" si="3"/>
        <v>0</v>
      </c>
      <c r="P15" s="122">
        <f t="shared" si="4"/>
        <v>0</v>
      </c>
      <c r="Q15" s="122">
        <f t="shared" si="5"/>
        <v>0</v>
      </c>
      <c r="R15" s="122">
        <f t="shared" si="6"/>
        <v>0</v>
      </c>
      <c r="S15" s="122">
        <f t="shared" si="7"/>
        <v>0</v>
      </c>
      <c r="T15" s="122">
        <f t="shared" si="8"/>
        <v>0</v>
      </c>
      <c r="U15" s="122">
        <f t="shared" si="9"/>
        <v>0</v>
      </c>
      <c r="V15" s="30">
        <f t="shared" si="10"/>
        <v>0</v>
      </c>
      <c r="W15" s="30">
        <f t="shared" si="11"/>
        <v>0</v>
      </c>
      <c r="X15" s="30">
        <f t="shared" si="12"/>
        <v>0</v>
      </c>
      <c r="Y15" s="30">
        <f t="shared" si="12"/>
        <v>0</v>
      </c>
    </row>
    <row r="16" spans="1:25" s="2" customFormat="1" ht="54.95" customHeight="1">
      <c r="A16" s="209">
        <v>13</v>
      </c>
      <c r="B16" s="250" t="s">
        <v>368</v>
      </c>
      <c r="C16" s="271">
        <v>0.46</v>
      </c>
      <c r="D16" s="272">
        <v>0</v>
      </c>
      <c r="E16" s="272">
        <v>1</v>
      </c>
      <c r="F16" s="272">
        <v>1</v>
      </c>
      <c r="G16" s="272">
        <v>0</v>
      </c>
      <c r="H16" s="272">
        <v>1</v>
      </c>
      <c r="I16" s="272">
        <v>1</v>
      </c>
      <c r="J16" s="237">
        <v>0</v>
      </c>
      <c r="K16" s="237">
        <v>0</v>
      </c>
      <c r="L16" s="246">
        <f t="shared" si="0"/>
        <v>0</v>
      </c>
      <c r="M16" s="247">
        <f t="shared" si="1"/>
        <v>0</v>
      </c>
      <c r="N16" s="122">
        <f t="shared" si="2"/>
        <v>0</v>
      </c>
      <c r="O16" s="122">
        <f t="shared" si="3"/>
        <v>0</v>
      </c>
      <c r="P16" s="122">
        <f t="shared" si="4"/>
        <v>0</v>
      </c>
      <c r="Q16" s="122">
        <f t="shared" si="5"/>
        <v>0</v>
      </c>
      <c r="R16" s="122">
        <f t="shared" si="6"/>
        <v>0</v>
      </c>
      <c r="S16" s="122">
        <f t="shared" si="7"/>
        <v>0</v>
      </c>
      <c r="T16" s="122">
        <f t="shared" si="8"/>
        <v>0</v>
      </c>
      <c r="U16" s="122">
        <f t="shared" si="9"/>
        <v>0</v>
      </c>
      <c r="V16" s="30">
        <f t="shared" si="10"/>
        <v>0</v>
      </c>
      <c r="W16" s="30">
        <f t="shared" si="11"/>
        <v>0</v>
      </c>
      <c r="X16" s="30">
        <f t="shared" si="12"/>
        <v>0</v>
      </c>
      <c r="Y16" s="30">
        <f t="shared" si="12"/>
        <v>0</v>
      </c>
    </row>
    <row r="17" spans="1:26" s="2" customFormat="1" ht="54.95" customHeight="1">
      <c r="A17" s="209">
        <v>14</v>
      </c>
      <c r="B17" s="250" t="s">
        <v>369</v>
      </c>
      <c r="C17" s="271">
        <v>0.48</v>
      </c>
      <c r="D17" s="272">
        <v>0</v>
      </c>
      <c r="E17" s="272">
        <v>1</v>
      </c>
      <c r="F17" s="272">
        <v>1</v>
      </c>
      <c r="G17" s="272">
        <v>0</v>
      </c>
      <c r="H17" s="272">
        <v>1</v>
      </c>
      <c r="I17" s="272">
        <v>1</v>
      </c>
      <c r="J17" s="237">
        <v>0</v>
      </c>
      <c r="K17" s="237">
        <v>0</v>
      </c>
      <c r="L17" s="246">
        <f t="shared" si="0"/>
        <v>0</v>
      </c>
      <c r="M17" s="247">
        <f t="shared" si="1"/>
        <v>0</v>
      </c>
      <c r="N17" s="122">
        <f t="shared" si="2"/>
        <v>0</v>
      </c>
      <c r="O17" s="122">
        <f t="shared" si="3"/>
        <v>0</v>
      </c>
      <c r="P17" s="122">
        <f t="shared" si="4"/>
        <v>0</v>
      </c>
      <c r="Q17" s="122">
        <f t="shared" si="5"/>
        <v>0</v>
      </c>
      <c r="R17" s="122">
        <f t="shared" si="6"/>
        <v>0</v>
      </c>
      <c r="S17" s="122">
        <f t="shared" si="7"/>
        <v>0</v>
      </c>
      <c r="T17" s="122">
        <f t="shared" si="8"/>
        <v>0</v>
      </c>
      <c r="U17" s="122">
        <f t="shared" si="9"/>
        <v>0</v>
      </c>
      <c r="V17" s="30">
        <f t="shared" si="10"/>
        <v>0</v>
      </c>
      <c r="W17" s="30">
        <f t="shared" si="11"/>
        <v>0</v>
      </c>
      <c r="X17" s="30">
        <f t="shared" si="12"/>
        <v>0</v>
      </c>
      <c r="Y17" s="30">
        <f t="shared" si="12"/>
        <v>0</v>
      </c>
    </row>
    <row r="18" spans="1:26" s="2" customFormat="1" ht="54.95" customHeight="1">
      <c r="A18" s="209">
        <v>15</v>
      </c>
      <c r="B18" s="250" t="s">
        <v>370</v>
      </c>
      <c r="C18" s="271">
        <v>0.51</v>
      </c>
      <c r="D18" s="272">
        <v>0</v>
      </c>
      <c r="E18" s="272">
        <v>1</v>
      </c>
      <c r="F18" s="272">
        <v>1</v>
      </c>
      <c r="G18" s="272">
        <v>0</v>
      </c>
      <c r="H18" s="272">
        <v>1</v>
      </c>
      <c r="I18" s="272">
        <v>1</v>
      </c>
      <c r="J18" s="237">
        <v>0</v>
      </c>
      <c r="K18" s="237">
        <v>0</v>
      </c>
      <c r="L18" s="246">
        <f t="shared" si="0"/>
        <v>0</v>
      </c>
      <c r="M18" s="247">
        <f t="shared" si="1"/>
        <v>0</v>
      </c>
      <c r="N18" s="122">
        <f t="shared" si="2"/>
        <v>0</v>
      </c>
      <c r="O18" s="122">
        <f t="shared" si="3"/>
        <v>0</v>
      </c>
      <c r="P18" s="122">
        <f t="shared" si="4"/>
        <v>0</v>
      </c>
      <c r="Q18" s="122">
        <f t="shared" si="5"/>
        <v>0</v>
      </c>
      <c r="R18" s="122">
        <f t="shared" si="6"/>
        <v>0</v>
      </c>
      <c r="S18" s="122">
        <f t="shared" si="7"/>
        <v>0</v>
      </c>
      <c r="T18" s="122">
        <f t="shared" si="8"/>
        <v>0</v>
      </c>
      <c r="U18" s="122">
        <f t="shared" si="9"/>
        <v>0</v>
      </c>
      <c r="V18" s="30">
        <f t="shared" si="10"/>
        <v>0</v>
      </c>
      <c r="W18" s="30">
        <f t="shared" si="11"/>
        <v>0</v>
      </c>
      <c r="X18" s="30">
        <f t="shared" si="12"/>
        <v>0</v>
      </c>
      <c r="Y18" s="30">
        <f t="shared" si="12"/>
        <v>0</v>
      </c>
    </row>
    <row r="19" spans="1:26" s="2" customFormat="1" ht="54.95" customHeight="1">
      <c r="A19" s="209">
        <v>16</v>
      </c>
      <c r="B19" s="250" t="s">
        <v>371</v>
      </c>
      <c r="C19" s="271">
        <v>0.64</v>
      </c>
      <c r="D19" s="272">
        <v>0</v>
      </c>
      <c r="E19" s="272">
        <v>1</v>
      </c>
      <c r="F19" s="272">
        <v>1</v>
      </c>
      <c r="G19" s="272">
        <v>0</v>
      </c>
      <c r="H19" s="272">
        <v>1</v>
      </c>
      <c r="I19" s="272">
        <v>1</v>
      </c>
      <c r="J19" s="237">
        <v>0</v>
      </c>
      <c r="K19" s="237">
        <v>0</v>
      </c>
      <c r="L19" s="246">
        <f t="shared" si="0"/>
        <v>0</v>
      </c>
      <c r="M19" s="247">
        <f t="shared" si="1"/>
        <v>0</v>
      </c>
      <c r="N19" s="122">
        <f t="shared" si="2"/>
        <v>0</v>
      </c>
      <c r="O19" s="122">
        <f t="shared" si="3"/>
        <v>0</v>
      </c>
      <c r="P19" s="122">
        <f t="shared" si="4"/>
        <v>0</v>
      </c>
      <c r="Q19" s="122">
        <f t="shared" si="5"/>
        <v>0</v>
      </c>
      <c r="R19" s="122">
        <f t="shared" si="6"/>
        <v>0</v>
      </c>
      <c r="S19" s="122">
        <f t="shared" si="7"/>
        <v>0</v>
      </c>
      <c r="T19" s="122">
        <f t="shared" si="8"/>
        <v>0</v>
      </c>
      <c r="U19" s="122">
        <f t="shared" si="9"/>
        <v>0</v>
      </c>
      <c r="V19" s="30">
        <f t="shared" si="10"/>
        <v>0</v>
      </c>
      <c r="W19" s="30">
        <f t="shared" si="11"/>
        <v>0</v>
      </c>
      <c r="X19" s="30">
        <f t="shared" si="12"/>
        <v>0</v>
      </c>
      <c r="Y19" s="30">
        <f t="shared" si="12"/>
        <v>0</v>
      </c>
    </row>
    <row r="20" spans="1:26" s="2" customFormat="1" ht="54.95" customHeight="1">
      <c r="A20" s="209">
        <v>17</v>
      </c>
      <c r="B20" s="250" t="s">
        <v>372</v>
      </c>
      <c r="C20" s="271">
        <v>0.1</v>
      </c>
      <c r="D20" s="272">
        <v>0</v>
      </c>
      <c r="E20" s="272">
        <v>1</v>
      </c>
      <c r="F20" s="272">
        <v>1</v>
      </c>
      <c r="G20" s="272">
        <v>0</v>
      </c>
      <c r="H20" s="272">
        <v>1</v>
      </c>
      <c r="I20" s="272">
        <v>1</v>
      </c>
      <c r="J20" s="237">
        <v>0</v>
      </c>
      <c r="K20" s="237">
        <v>0</v>
      </c>
      <c r="L20" s="246">
        <f t="shared" si="0"/>
        <v>0</v>
      </c>
      <c r="M20" s="247">
        <f t="shared" si="1"/>
        <v>0</v>
      </c>
      <c r="N20" s="122">
        <f t="shared" si="2"/>
        <v>0</v>
      </c>
      <c r="O20" s="122">
        <f t="shared" si="3"/>
        <v>0</v>
      </c>
      <c r="P20" s="122">
        <f t="shared" si="4"/>
        <v>0</v>
      </c>
      <c r="Q20" s="122">
        <f t="shared" si="5"/>
        <v>0</v>
      </c>
      <c r="R20" s="122">
        <f t="shared" si="6"/>
        <v>0</v>
      </c>
      <c r="S20" s="122">
        <f t="shared" si="7"/>
        <v>0</v>
      </c>
      <c r="T20" s="122">
        <f t="shared" si="8"/>
        <v>0</v>
      </c>
      <c r="U20" s="122">
        <f t="shared" si="9"/>
        <v>0</v>
      </c>
      <c r="V20" s="30">
        <f t="shared" si="10"/>
        <v>0</v>
      </c>
      <c r="W20" s="30">
        <f t="shared" si="11"/>
        <v>0</v>
      </c>
      <c r="X20" s="30">
        <f t="shared" ref="X20:Y33" si="13">L20*(V20/(V20-0.0000001))</f>
        <v>0</v>
      </c>
      <c r="Y20" s="30">
        <f t="shared" si="13"/>
        <v>0</v>
      </c>
    </row>
    <row r="21" spans="1:26" s="2" customFormat="1" ht="54.95" customHeight="1">
      <c r="A21" s="209">
        <v>18</v>
      </c>
      <c r="B21" s="250" t="s">
        <v>373</v>
      </c>
      <c r="C21" s="271">
        <v>7</v>
      </c>
      <c r="D21" s="272">
        <v>0</v>
      </c>
      <c r="E21" s="272">
        <v>1</v>
      </c>
      <c r="F21" s="272">
        <v>1</v>
      </c>
      <c r="G21" s="272">
        <v>0</v>
      </c>
      <c r="H21" s="272">
        <v>1</v>
      </c>
      <c r="I21" s="272">
        <v>1</v>
      </c>
      <c r="J21" s="237">
        <v>0</v>
      </c>
      <c r="K21" s="237">
        <v>0</v>
      </c>
      <c r="L21" s="246">
        <f t="shared" si="0"/>
        <v>0</v>
      </c>
      <c r="M21" s="247">
        <f t="shared" si="1"/>
        <v>0</v>
      </c>
      <c r="N21" s="122">
        <f t="shared" si="2"/>
        <v>0</v>
      </c>
      <c r="O21" s="122">
        <f t="shared" si="3"/>
        <v>0</v>
      </c>
      <c r="P21" s="122">
        <f t="shared" si="4"/>
        <v>0</v>
      </c>
      <c r="Q21" s="122">
        <f t="shared" si="5"/>
        <v>0</v>
      </c>
      <c r="R21" s="122">
        <f t="shared" si="6"/>
        <v>0</v>
      </c>
      <c r="S21" s="122">
        <f t="shared" si="7"/>
        <v>0</v>
      </c>
      <c r="T21" s="122">
        <f t="shared" si="8"/>
        <v>0</v>
      </c>
      <c r="U21" s="122">
        <f t="shared" si="9"/>
        <v>0</v>
      </c>
      <c r="V21" s="30">
        <f t="shared" si="10"/>
        <v>0</v>
      </c>
      <c r="W21" s="30">
        <f t="shared" si="11"/>
        <v>0</v>
      </c>
      <c r="X21" s="30">
        <f t="shared" si="13"/>
        <v>0</v>
      </c>
      <c r="Y21" s="30">
        <f t="shared" si="13"/>
        <v>0</v>
      </c>
    </row>
    <row r="22" spans="1:26" s="2" customFormat="1" ht="54.95" customHeight="1">
      <c r="A22" s="209">
        <v>19</v>
      </c>
      <c r="B22" s="250" t="s">
        <v>374</v>
      </c>
      <c r="C22" s="271">
        <v>0.48</v>
      </c>
      <c r="D22" s="272">
        <v>0</v>
      </c>
      <c r="E22" s="272">
        <v>1</v>
      </c>
      <c r="F22" s="272">
        <v>1</v>
      </c>
      <c r="G22" s="272">
        <v>0</v>
      </c>
      <c r="H22" s="272">
        <v>1</v>
      </c>
      <c r="I22" s="272">
        <v>1</v>
      </c>
      <c r="J22" s="237">
        <v>0</v>
      </c>
      <c r="K22" s="237">
        <v>0</v>
      </c>
      <c r="L22" s="246">
        <f t="shared" si="0"/>
        <v>0</v>
      </c>
      <c r="M22" s="247">
        <f t="shared" si="1"/>
        <v>0</v>
      </c>
      <c r="N22" s="122">
        <f t="shared" si="2"/>
        <v>0</v>
      </c>
      <c r="O22" s="122">
        <f t="shared" si="3"/>
        <v>0</v>
      </c>
      <c r="P22" s="122">
        <f t="shared" si="4"/>
        <v>0</v>
      </c>
      <c r="Q22" s="122">
        <f t="shared" si="5"/>
        <v>0</v>
      </c>
      <c r="R22" s="122">
        <f t="shared" si="6"/>
        <v>0</v>
      </c>
      <c r="S22" s="122">
        <f t="shared" si="7"/>
        <v>0</v>
      </c>
      <c r="T22" s="122">
        <f t="shared" si="8"/>
        <v>0</v>
      </c>
      <c r="U22" s="122">
        <f t="shared" si="9"/>
        <v>0</v>
      </c>
      <c r="V22" s="30">
        <f t="shared" si="10"/>
        <v>0</v>
      </c>
      <c r="W22" s="30">
        <f t="shared" si="11"/>
        <v>0</v>
      </c>
      <c r="X22" s="30">
        <f t="shared" si="13"/>
        <v>0</v>
      </c>
      <c r="Y22" s="30">
        <f t="shared" si="13"/>
        <v>0</v>
      </c>
    </row>
    <row r="23" spans="1:26" s="2" customFormat="1" ht="54.95" customHeight="1">
      <c r="A23" s="209">
        <v>20</v>
      </c>
      <c r="B23" s="250" t="s">
        <v>375</v>
      </c>
      <c r="C23" s="271">
        <v>0.55000000000000004</v>
      </c>
      <c r="D23" s="272">
        <v>0</v>
      </c>
      <c r="E23" s="272">
        <v>1</v>
      </c>
      <c r="F23" s="272">
        <v>1</v>
      </c>
      <c r="G23" s="272">
        <v>0</v>
      </c>
      <c r="H23" s="272">
        <v>1</v>
      </c>
      <c r="I23" s="272">
        <v>1</v>
      </c>
      <c r="J23" s="237">
        <v>0</v>
      </c>
      <c r="K23" s="237">
        <v>0</v>
      </c>
      <c r="L23" s="246">
        <f t="shared" si="0"/>
        <v>0</v>
      </c>
      <c r="M23" s="247">
        <f t="shared" si="1"/>
        <v>0</v>
      </c>
      <c r="N23" s="122">
        <f t="shared" si="2"/>
        <v>0</v>
      </c>
      <c r="O23" s="122">
        <f t="shared" si="3"/>
        <v>0</v>
      </c>
      <c r="P23" s="122">
        <f t="shared" si="4"/>
        <v>0</v>
      </c>
      <c r="Q23" s="122">
        <f t="shared" si="5"/>
        <v>0</v>
      </c>
      <c r="R23" s="122">
        <f t="shared" si="6"/>
        <v>0</v>
      </c>
      <c r="S23" s="122">
        <f t="shared" si="7"/>
        <v>0</v>
      </c>
      <c r="T23" s="122">
        <f t="shared" si="8"/>
        <v>0</v>
      </c>
      <c r="U23" s="122">
        <f t="shared" si="9"/>
        <v>0</v>
      </c>
      <c r="V23" s="30">
        <f t="shared" si="10"/>
        <v>0</v>
      </c>
      <c r="W23" s="30">
        <f t="shared" si="11"/>
        <v>0</v>
      </c>
      <c r="X23" s="30">
        <f t="shared" si="13"/>
        <v>0</v>
      </c>
      <c r="Y23" s="30">
        <f t="shared" si="13"/>
        <v>0</v>
      </c>
    </row>
    <row r="24" spans="1:26" s="2" customFormat="1" ht="54.95" customHeight="1">
      <c r="A24" s="209">
        <v>21</v>
      </c>
      <c r="B24" s="250" t="s">
        <v>376</v>
      </c>
      <c r="C24" s="271">
        <v>1.2</v>
      </c>
      <c r="D24" s="272">
        <v>0</v>
      </c>
      <c r="E24" s="272">
        <v>1</v>
      </c>
      <c r="F24" s="272">
        <v>1</v>
      </c>
      <c r="G24" s="272">
        <v>0</v>
      </c>
      <c r="H24" s="272">
        <v>1</v>
      </c>
      <c r="I24" s="272">
        <v>1</v>
      </c>
      <c r="J24" s="237">
        <v>0</v>
      </c>
      <c r="K24" s="237">
        <v>0</v>
      </c>
      <c r="L24" s="246">
        <f t="shared" si="0"/>
        <v>0</v>
      </c>
      <c r="M24" s="247">
        <f t="shared" si="1"/>
        <v>0</v>
      </c>
      <c r="N24" s="122">
        <f t="shared" si="2"/>
        <v>0</v>
      </c>
      <c r="O24" s="122">
        <f t="shared" si="3"/>
        <v>0</v>
      </c>
      <c r="P24" s="122">
        <f t="shared" si="4"/>
        <v>0</v>
      </c>
      <c r="Q24" s="122">
        <f t="shared" si="5"/>
        <v>0</v>
      </c>
      <c r="R24" s="122">
        <f t="shared" si="6"/>
        <v>0</v>
      </c>
      <c r="S24" s="122">
        <f t="shared" si="7"/>
        <v>0</v>
      </c>
      <c r="T24" s="122">
        <f t="shared" si="8"/>
        <v>0</v>
      </c>
      <c r="U24" s="122">
        <f t="shared" si="9"/>
        <v>0</v>
      </c>
      <c r="V24" s="30">
        <f t="shared" si="10"/>
        <v>0</v>
      </c>
      <c r="W24" s="30">
        <f t="shared" si="11"/>
        <v>0</v>
      </c>
      <c r="X24" s="30">
        <f t="shared" si="13"/>
        <v>0</v>
      </c>
      <c r="Y24" s="30">
        <f t="shared" si="13"/>
        <v>0</v>
      </c>
    </row>
    <row r="25" spans="1:26" s="2" customFormat="1" ht="54.95" customHeight="1">
      <c r="A25" s="209">
        <v>22</v>
      </c>
      <c r="B25" s="250" t="s">
        <v>377</v>
      </c>
      <c r="C25" s="271">
        <v>0.64</v>
      </c>
      <c r="D25" s="272">
        <v>0</v>
      </c>
      <c r="E25" s="272">
        <v>1</v>
      </c>
      <c r="F25" s="272">
        <v>1</v>
      </c>
      <c r="G25" s="272">
        <v>0</v>
      </c>
      <c r="H25" s="272">
        <v>1</v>
      </c>
      <c r="I25" s="272">
        <v>1</v>
      </c>
      <c r="J25" s="237">
        <v>0</v>
      </c>
      <c r="K25" s="237">
        <v>0</v>
      </c>
      <c r="L25" s="246">
        <f t="shared" si="0"/>
        <v>0</v>
      </c>
      <c r="M25" s="247">
        <f t="shared" si="1"/>
        <v>0</v>
      </c>
      <c r="N25" s="122">
        <f t="shared" si="2"/>
        <v>0</v>
      </c>
      <c r="O25" s="122">
        <f t="shared" si="3"/>
        <v>0</v>
      </c>
      <c r="P25" s="122">
        <f t="shared" si="4"/>
        <v>0</v>
      </c>
      <c r="Q25" s="122">
        <f t="shared" si="5"/>
        <v>0</v>
      </c>
      <c r="R25" s="122">
        <f t="shared" si="6"/>
        <v>0</v>
      </c>
      <c r="S25" s="122">
        <f t="shared" si="7"/>
        <v>0</v>
      </c>
      <c r="T25" s="122">
        <f t="shared" si="8"/>
        <v>0</v>
      </c>
      <c r="U25" s="122">
        <f t="shared" si="9"/>
        <v>0</v>
      </c>
      <c r="V25" s="30">
        <f t="shared" si="10"/>
        <v>0</v>
      </c>
      <c r="W25" s="30">
        <f t="shared" si="11"/>
        <v>0</v>
      </c>
      <c r="X25" s="30">
        <f t="shared" si="13"/>
        <v>0</v>
      </c>
      <c r="Y25" s="30">
        <f t="shared" si="13"/>
        <v>0</v>
      </c>
    </row>
    <row r="26" spans="1:26" s="2" customFormat="1" ht="54.95" customHeight="1">
      <c r="A26" s="209">
        <v>23</v>
      </c>
      <c r="B26" s="250" t="s">
        <v>378</v>
      </c>
      <c r="C26" s="271">
        <v>0.55000000000000004</v>
      </c>
      <c r="D26" s="272">
        <v>0</v>
      </c>
      <c r="E26" s="272">
        <v>1</v>
      </c>
      <c r="F26" s="272">
        <v>1</v>
      </c>
      <c r="G26" s="272">
        <v>0</v>
      </c>
      <c r="H26" s="272">
        <v>1</v>
      </c>
      <c r="I26" s="272">
        <v>1</v>
      </c>
      <c r="J26" s="237">
        <v>0</v>
      </c>
      <c r="K26" s="237">
        <v>0</v>
      </c>
      <c r="L26" s="246">
        <f t="shared" si="0"/>
        <v>0</v>
      </c>
      <c r="M26" s="247">
        <f t="shared" si="1"/>
        <v>0</v>
      </c>
      <c r="N26" s="122">
        <f t="shared" si="2"/>
        <v>0</v>
      </c>
      <c r="O26" s="122">
        <f t="shared" si="3"/>
        <v>0</v>
      </c>
      <c r="P26" s="122">
        <f t="shared" si="4"/>
        <v>0</v>
      </c>
      <c r="Q26" s="122">
        <f t="shared" si="5"/>
        <v>0</v>
      </c>
      <c r="R26" s="122">
        <f t="shared" si="6"/>
        <v>0</v>
      </c>
      <c r="S26" s="122">
        <f t="shared" si="7"/>
        <v>0</v>
      </c>
      <c r="T26" s="122">
        <f t="shared" si="8"/>
        <v>0</v>
      </c>
      <c r="U26" s="122">
        <f t="shared" si="9"/>
        <v>0</v>
      </c>
      <c r="V26" s="30">
        <f t="shared" si="10"/>
        <v>0</v>
      </c>
      <c r="W26" s="30">
        <f t="shared" si="11"/>
        <v>0</v>
      </c>
      <c r="X26" s="30">
        <f t="shared" si="13"/>
        <v>0</v>
      </c>
      <c r="Y26" s="30">
        <f t="shared" si="13"/>
        <v>0</v>
      </c>
    </row>
    <row r="27" spans="1:26" s="2" customFormat="1" ht="54.95" customHeight="1">
      <c r="A27" s="209">
        <v>24</v>
      </c>
      <c r="B27" s="250" t="s">
        <v>379</v>
      </c>
      <c r="C27" s="271">
        <v>0.78</v>
      </c>
      <c r="D27" s="272">
        <v>0</v>
      </c>
      <c r="E27" s="272">
        <v>1</v>
      </c>
      <c r="F27" s="272">
        <v>1</v>
      </c>
      <c r="G27" s="272">
        <v>0</v>
      </c>
      <c r="H27" s="272">
        <v>1</v>
      </c>
      <c r="I27" s="272">
        <v>1</v>
      </c>
      <c r="J27" s="237">
        <v>0</v>
      </c>
      <c r="K27" s="237">
        <v>0</v>
      </c>
      <c r="L27" s="246">
        <f t="shared" si="0"/>
        <v>0</v>
      </c>
      <c r="M27" s="247">
        <f t="shared" si="1"/>
        <v>0</v>
      </c>
      <c r="N27" s="122">
        <f t="shared" si="2"/>
        <v>0</v>
      </c>
      <c r="O27" s="122">
        <f t="shared" si="3"/>
        <v>0</v>
      </c>
      <c r="P27" s="122">
        <f t="shared" si="4"/>
        <v>0</v>
      </c>
      <c r="Q27" s="122">
        <f t="shared" si="5"/>
        <v>0</v>
      </c>
      <c r="R27" s="122">
        <f t="shared" si="6"/>
        <v>0</v>
      </c>
      <c r="S27" s="122">
        <f t="shared" si="7"/>
        <v>0</v>
      </c>
      <c r="T27" s="122">
        <f t="shared" si="8"/>
        <v>0</v>
      </c>
      <c r="U27" s="122">
        <f t="shared" si="9"/>
        <v>0</v>
      </c>
      <c r="V27" s="30">
        <f t="shared" si="10"/>
        <v>0</v>
      </c>
      <c r="W27" s="30">
        <f t="shared" si="11"/>
        <v>0</v>
      </c>
      <c r="X27" s="30">
        <f t="shared" si="13"/>
        <v>0</v>
      </c>
      <c r="Y27" s="30">
        <f t="shared" si="13"/>
        <v>0</v>
      </c>
    </row>
    <row r="28" spans="1:26" s="2" customFormat="1" ht="54.95" customHeight="1">
      <c r="A28" s="209">
        <v>25</v>
      </c>
      <c r="B28" s="250" t="s">
        <v>380</v>
      </c>
      <c r="C28" s="271">
        <v>1.5</v>
      </c>
      <c r="D28" s="272">
        <v>0</v>
      </c>
      <c r="E28" s="272">
        <v>1</v>
      </c>
      <c r="F28" s="272">
        <v>1</v>
      </c>
      <c r="G28" s="272">
        <v>0</v>
      </c>
      <c r="H28" s="272">
        <v>1</v>
      </c>
      <c r="I28" s="272">
        <v>1</v>
      </c>
      <c r="J28" s="237">
        <v>0</v>
      </c>
      <c r="K28" s="237">
        <v>0</v>
      </c>
      <c r="L28" s="246">
        <f t="shared" si="0"/>
        <v>0</v>
      </c>
      <c r="M28" s="247">
        <f t="shared" si="1"/>
        <v>0</v>
      </c>
      <c r="N28" s="122">
        <f t="shared" si="2"/>
        <v>0</v>
      </c>
      <c r="O28" s="122">
        <f t="shared" si="3"/>
        <v>0</v>
      </c>
      <c r="P28" s="122">
        <f t="shared" si="4"/>
        <v>0</v>
      </c>
      <c r="Q28" s="122">
        <f t="shared" si="5"/>
        <v>0</v>
      </c>
      <c r="R28" s="122">
        <f t="shared" si="6"/>
        <v>0</v>
      </c>
      <c r="S28" s="122">
        <f t="shared" si="7"/>
        <v>0</v>
      </c>
      <c r="T28" s="122">
        <f t="shared" si="8"/>
        <v>0</v>
      </c>
      <c r="U28" s="122">
        <f t="shared" si="9"/>
        <v>0</v>
      </c>
      <c r="V28" s="30">
        <f t="shared" si="10"/>
        <v>0</v>
      </c>
      <c r="W28" s="30">
        <f t="shared" si="11"/>
        <v>0</v>
      </c>
      <c r="X28" s="30">
        <f t="shared" si="13"/>
        <v>0</v>
      </c>
      <c r="Y28" s="30">
        <f t="shared" si="13"/>
        <v>0</v>
      </c>
    </row>
    <row r="29" spans="1:26" s="2" customFormat="1" ht="54.95" customHeight="1">
      <c r="A29" s="209">
        <v>26</v>
      </c>
      <c r="B29" s="250" t="s">
        <v>381</v>
      </c>
      <c r="C29" s="271">
        <v>1.5</v>
      </c>
      <c r="D29" s="272">
        <v>0</v>
      </c>
      <c r="E29" s="272">
        <v>1</v>
      </c>
      <c r="F29" s="272">
        <v>1</v>
      </c>
      <c r="G29" s="272">
        <v>0</v>
      </c>
      <c r="H29" s="272">
        <v>1</v>
      </c>
      <c r="I29" s="272">
        <v>1</v>
      </c>
      <c r="J29" s="237">
        <v>0</v>
      </c>
      <c r="K29" s="237">
        <v>0</v>
      </c>
      <c r="L29" s="246">
        <f t="shared" si="0"/>
        <v>0</v>
      </c>
      <c r="M29" s="247">
        <f t="shared" si="1"/>
        <v>0</v>
      </c>
      <c r="N29" s="122">
        <f t="shared" si="2"/>
        <v>0</v>
      </c>
      <c r="O29" s="122">
        <f t="shared" si="3"/>
        <v>0</v>
      </c>
      <c r="P29" s="122">
        <f t="shared" si="4"/>
        <v>0</v>
      </c>
      <c r="Q29" s="122">
        <f t="shared" si="5"/>
        <v>0</v>
      </c>
      <c r="R29" s="122">
        <f t="shared" si="6"/>
        <v>0</v>
      </c>
      <c r="S29" s="122">
        <f t="shared" si="7"/>
        <v>0</v>
      </c>
      <c r="T29" s="122">
        <f t="shared" si="8"/>
        <v>0</v>
      </c>
      <c r="U29" s="122">
        <f t="shared" si="9"/>
        <v>0</v>
      </c>
      <c r="V29" s="30">
        <f t="shared" si="10"/>
        <v>0</v>
      </c>
      <c r="W29" s="30">
        <f t="shared" si="11"/>
        <v>0</v>
      </c>
      <c r="X29" s="30">
        <f t="shared" si="13"/>
        <v>0</v>
      </c>
      <c r="Y29" s="30">
        <f t="shared" si="13"/>
        <v>0</v>
      </c>
    </row>
    <row r="30" spans="1:26" s="2" customFormat="1" ht="54.95" customHeight="1">
      <c r="A30" s="209">
        <v>27</v>
      </c>
      <c r="B30" s="250" t="s">
        <v>382</v>
      </c>
      <c r="C30" s="271">
        <v>1</v>
      </c>
      <c r="D30" s="272">
        <v>0</v>
      </c>
      <c r="E30" s="272">
        <v>1</v>
      </c>
      <c r="F30" s="272">
        <v>1</v>
      </c>
      <c r="G30" s="272">
        <v>0</v>
      </c>
      <c r="H30" s="272">
        <v>1</v>
      </c>
      <c r="I30" s="272">
        <v>1</v>
      </c>
      <c r="J30" s="237">
        <v>0</v>
      </c>
      <c r="K30" s="237">
        <v>0</v>
      </c>
      <c r="L30" s="246">
        <f t="shared" si="0"/>
        <v>0</v>
      </c>
      <c r="M30" s="247">
        <f t="shared" si="1"/>
        <v>0</v>
      </c>
      <c r="N30" s="122">
        <f t="shared" si="2"/>
        <v>0</v>
      </c>
      <c r="O30" s="122">
        <f t="shared" si="3"/>
        <v>0</v>
      </c>
      <c r="P30" s="122">
        <f t="shared" si="4"/>
        <v>0</v>
      </c>
      <c r="Q30" s="122">
        <f t="shared" si="5"/>
        <v>0</v>
      </c>
      <c r="R30" s="122">
        <f t="shared" si="6"/>
        <v>0</v>
      </c>
      <c r="S30" s="122">
        <f t="shared" si="7"/>
        <v>0</v>
      </c>
      <c r="T30" s="122">
        <f t="shared" si="8"/>
        <v>0</v>
      </c>
      <c r="U30" s="122">
        <f t="shared" si="9"/>
        <v>0</v>
      </c>
      <c r="V30" s="30">
        <f t="shared" si="10"/>
        <v>0</v>
      </c>
      <c r="W30" s="30">
        <f t="shared" si="11"/>
        <v>0</v>
      </c>
      <c r="X30" s="30">
        <f t="shared" si="13"/>
        <v>0</v>
      </c>
      <c r="Y30" s="30">
        <f t="shared" si="13"/>
        <v>0</v>
      </c>
    </row>
    <row r="31" spans="1:26" ht="54.95" customHeight="1">
      <c r="A31" s="209">
        <v>28</v>
      </c>
      <c r="B31" s="250" t="s">
        <v>383</v>
      </c>
      <c r="C31" s="271">
        <v>0.9</v>
      </c>
      <c r="D31" s="272">
        <v>0</v>
      </c>
      <c r="E31" s="272">
        <v>1</v>
      </c>
      <c r="F31" s="272">
        <v>1</v>
      </c>
      <c r="G31" s="272">
        <v>0</v>
      </c>
      <c r="H31" s="272">
        <v>1</v>
      </c>
      <c r="I31" s="272">
        <v>1</v>
      </c>
      <c r="J31" s="237">
        <v>0</v>
      </c>
      <c r="K31" s="237">
        <v>0</v>
      </c>
      <c r="L31" s="246">
        <v>0</v>
      </c>
      <c r="M31" s="247">
        <v>0</v>
      </c>
      <c r="N31" s="122">
        <f t="shared" si="2"/>
        <v>0</v>
      </c>
      <c r="O31" s="122">
        <f t="shared" si="3"/>
        <v>0</v>
      </c>
      <c r="P31" s="122">
        <f t="shared" si="4"/>
        <v>0</v>
      </c>
      <c r="Q31" s="122">
        <f t="shared" si="5"/>
        <v>0</v>
      </c>
      <c r="R31" s="122">
        <f t="shared" si="6"/>
        <v>0</v>
      </c>
      <c r="S31" s="122">
        <f t="shared" si="7"/>
        <v>0</v>
      </c>
      <c r="T31" s="122">
        <f t="shared" si="8"/>
        <v>0</v>
      </c>
      <c r="U31" s="122">
        <f t="shared" si="9"/>
        <v>0</v>
      </c>
      <c r="V31" s="30">
        <f t="shared" si="10"/>
        <v>0</v>
      </c>
      <c r="W31" s="30">
        <f t="shared" si="11"/>
        <v>0</v>
      </c>
      <c r="X31" s="30">
        <f t="shared" si="13"/>
        <v>0</v>
      </c>
      <c r="Y31" s="30">
        <f t="shared" si="13"/>
        <v>0</v>
      </c>
      <c r="Z31" s="2"/>
    </row>
    <row r="32" spans="1:26" ht="54.95" customHeight="1">
      <c r="A32" s="209">
        <v>29</v>
      </c>
      <c r="B32" s="250" t="s">
        <v>384</v>
      </c>
      <c r="C32" s="271">
        <v>40</v>
      </c>
      <c r="D32" s="272">
        <v>1</v>
      </c>
      <c r="E32" s="272">
        <v>0</v>
      </c>
      <c r="F32" s="272">
        <v>1</v>
      </c>
      <c r="G32" s="272">
        <v>0</v>
      </c>
      <c r="H32" s="272">
        <v>1</v>
      </c>
      <c r="I32" s="272">
        <v>1</v>
      </c>
      <c r="J32" s="237">
        <v>0</v>
      </c>
      <c r="K32" s="237">
        <v>0</v>
      </c>
      <c r="L32" s="246">
        <f t="shared" si="0"/>
        <v>0</v>
      </c>
      <c r="M32" s="247">
        <f t="shared" si="1"/>
        <v>0</v>
      </c>
      <c r="N32" s="122">
        <f t="shared" si="2"/>
        <v>0</v>
      </c>
      <c r="O32" s="122">
        <f t="shared" si="3"/>
        <v>0</v>
      </c>
      <c r="P32" s="122">
        <f t="shared" si="4"/>
        <v>0</v>
      </c>
      <c r="Q32" s="122">
        <f t="shared" si="5"/>
        <v>0</v>
      </c>
      <c r="R32" s="122">
        <f t="shared" si="6"/>
        <v>0</v>
      </c>
      <c r="S32" s="122">
        <f t="shared" si="7"/>
        <v>0</v>
      </c>
      <c r="T32" s="122">
        <f t="shared" si="8"/>
        <v>0</v>
      </c>
      <c r="U32" s="122">
        <f t="shared" si="9"/>
        <v>0</v>
      </c>
      <c r="V32" s="30">
        <f t="shared" si="10"/>
        <v>0</v>
      </c>
      <c r="W32" s="30">
        <f t="shared" si="11"/>
        <v>0</v>
      </c>
      <c r="X32" s="30">
        <f t="shared" si="13"/>
        <v>0</v>
      </c>
      <c r="Y32" s="30">
        <f t="shared" si="13"/>
        <v>0</v>
      </c>
      <c r="Z32" s="2"/>
    </row>
    <row r="33" spans="1:27" s="2" customFormat="1" ht="54.95" customHeight="1">
      <c r="A33" s="209">
        <v>30</v>
      </c>
      <c r="B33" s="250" t="s">
        <v>385</v>
      </c>
      <c r="C33" s="271">
        <v>0.3</v>
      </c>
      <c r="D33" s="272">
        <v>0</v>
      </c>
      <c r="E33" s="272">
        <v>1</v>
      </c>
      <c r="F33" s="272">
        <v>1</v>
      </c>
      <c r="G33" s="272">
        <v>1</v>
      </c>
      <c r="H33" s="272">
        <v>1</v>
      </c>
      <c r="I33" s="272">
        <v>4</v>
      </c>
      <c r="J33" s="237">
        <v>0</v>
      </c>
      <c r="K33" s="237">
        <v>0</v>
      </c>
      <c r="L33" s="237">
        <f t="shared" si="0"/>
        <v>0</v>
      </c>
      <c r="M33" s="238">
        <f t="shared" si="1"/>
        <v>0</v>
      </c>
      <c r="N33" s="122">
        <f t="shared" si="2"/>
        <v>0</v>
      </c>
      <c r="O33" s="122">
        <f t="shared" si="3"/>
        <v>0</v>
      </c>
      <c r="P33" s="122">
        <f t="shared" si="4"/>
        <v>0</v>
      </c>
      <c r="Q33" s="122">
        <f t="shared" si="5"/>
        <v>0</v>
      </c>
      <c r="R33" s="122">
        <f t="shared" si="6"/>
        <v>0</v>
      </c>
      <c r="S33" s="122">
        <f t="shared" si="7"/>
        <v>0</v>
      </c>
      <c r="T33" s="122">
        <f t="shared" si="8"/>
        <v>0</v>
      </c>
      <c r="U33" s="122">
        <f t="shared" si="9"/>
        <v>0</v>
      </c>
      <c r="V33" s="30">
        <f t="shared" si="10"/>
        <v>0</v>
      </c>
      <c r="W33" s="30">
        <f t="shared" si="11"/>
        <v>0</v>
      </c>
      <c r="X33" s="30">
        <f t="shared" si="13"/>
        <v>0</v>
      </c>
      <c r="Y33" s="30">
        <f t="shared" si="13"/>
        <v>0</v>
      </c>
    </row>
    <row r="34" spans="1:27" s="2" customFormat="1" ht="54.95" customHeight="1">
      <c r="A34" s="377" t="s">
        <v>158</v>
      </c>
      <c r="B34" s="377"/>
      <c r="C34" s="378" t="s">
        <v>74</v>
      </c>
      <c r="D34" s="378"/>
      <c r="E34" s="378"/>
      <c r="F34" s="378"/>
      <c r="G34" s="378"/>
      <c r="H34" s="378"/>
      <c r="I34" s="378"/>
      <c r="J34" s="378"/>
      <c r="K34" s="378"/>
      <c r="L34" s="239">
        <f t="shared" ref="L34:Y34" si="14">SUM(L4:L33)</f>
        <v>0</v>
      </c>
      <c r="M34" s="239">
        <f t="shared" si="14"/>
        <v>0</v>
      </c>
      <c r="N34" s="127">
        <f t="shared" si="14"/>
        <v>0</v>
      </c>
      <c r="O34" s="127">
        <f t="shared" si="14"/>
        <v>0</v>
      </c>
      <c r="P34" s="127">
        <f t="shared" si="14"/>
        <v>0</v>
      </c>
      <c r="Q34" s="127">
        <f t="shared" si="14"/>
        <v>0</v>
      </c>
      <c r="R34" s="127">
        <f t="shared" si="14"/>
        <v>0</v>
      </c>
      <c r="S34" s="127">
        <f t="shared" si="14"/>
        <v>0</v>
      </c>
      <c r="T34" s="127">
        <f t="shared" si="14"/>
        <v>0</v>
      </c>
      <c r="U34" s="127">
        <f t="shared" si="14"/>
        <v>0</v>
      </c>
      <c r="V34" s="127">
        <f t="shared" si="14"/>
        <v>0</v>
      </c>
      <c r="W34" s="127">
        <f t="shared" si="14"/>
        <v>0</v>
      </c>
      <c r="X34" s="127">
        <f t="shared" si="14"/>
        <v>0</v>
      </c>
      <c r="Y34" s="127">
        <f t="shared" si="14"/>
        <v>0</v>
      </c>
    </row>
    <row r="35" spans="1:27" s="2" customFormat="1" ht="54.95" customHeight="1">
      <c r="A35" s="379" t="s">
        <v>160</v>
      </c>
      <c r="B35" s="379"/>
      <c r="C35" s="379"/>
      <c r="D35" s="379"/>
      <c r="E35" s="379"/>
      <c r="F35" s="379"/>
      <c r="G35" s="379"/>
      <c r="H35" s="379"/>
      <c r="I35" s="379"/>
      <c r="J35" s="379"/>
      <c r="K35" s="379"/>
      <c r="L35" s="379"/>
      <c r="M35" s="216">
        <v>640</v>
      </c>
      <c r="N35" s="29"/>
      <c r="O35" s="29"/>
      <c r="P35" s="29"/>
      <c r="Q35" s="29"/>
      <c r="R35" s="29"/>
      <c r="S35" s="29"/>
      <c r="T35" s="29"/>
      <c r="U35" s="29"/>
      <c r="V35" s="29"/>
      <c r="W35" s="29"/>
      <c r="X35" s="30"/>
      <c r="Y35" s="30"/>
      <c r="Z35" s="124"/>
    </row>
    <row r="36" spans="1:27" s="124" customFormat="1" ht="54.95" customHeight="1">
      <c r="A36" s="3"/>
      <c r="B36" s="3"/>
      <c r="C36" s="125"/>
      <c r="D36" s="126"/>
      <c r="E36" s="126"/>
      <c r="F36" s="126"/>
      <c r="G36" s="126"/>
      <c r="H36" s="126"/>
      <c r="I36" s="126"/>
      <c r="J36" s="3"/>
      <c r="K36" s="3"/>
      <c r="L36" s="3"/>
      <c r="M36" s="2"/>
      <c r="N36" s="29"/>
      <c r="O36" s="29"/>
      <c r="P36" s="29"/>
      <c r="Q36" s="29"/>
      <c r="R36" s="29"/>
      <c r="S36" s="29"/>
      <c r="T36" s="29"/>
      <c r="U36" s="29"/>
      <c r="V36" s="29"/>
      <c r="W36" s="29"/>
      <c r="X36" s="30"/>
      <c r="Y36" s="30"/>
      <c r="Z36" s="121"/>
      <c r="AA36" s="2"/>
    </row>
    <row r="37" spans="1:27" s="124" customFormat="1" ht="54.95" customHeight="1">
      <c r="A37" s="3"/>
      <c r="B37" s="3"/>
      <c r="C37" s="125"/>
      <c r="D37" s="126"/>
      <c r="E37" s="126"/>
      <c r="F37" s="126"/>
      <c r="G37" s="126"/>
      <c r="H37" s="126"/>
      <c r="I37" s="126"/>
      <c r="J37" s="3"/>
      <c r="K37" s="3"/>
      <c r="L37" s="3"/>
      <c r="M37" s="2"/>
      <c r="N37" s="29"/>
      <c r="O37" s="29"/>
      <c r="P37" s="29"/>
      <c r="Q37" s="29"/>
      <c r="R37" s="29"/>
      <c r="S37" s="29"/>
      <c r="T37" s="29"/>
      <c r="U37" s="29"/>
      <c r="V37" s="29"/>
      <c r="W37" s="29"/>
      <c r="X37" s="30"/>
      <c r="Y37" s="30"/>
      <c r="Z37" s="121"/>
      <c r="AA37" s="2"/>
    </row>
    <row r="38" spans="1:27" s="124" customFormat="1" ht="54.95" customHeight="1">
      <c r="A38" s="3"/>
      <c r="B38" s="3"/>
      <c r="C38" s="125"/>
      <c r="D38" s="126"/>
      <c r="E38" s="126"/>
      <c r="F38" s="126"/>
      <c r="G38" s="126"/>
      <c r="H38" s="126"/>
      <c r="I38" s="126"/>
      <c r="J38" s="3"/>
      <c r="K38" s="3"/>
      <c r="L38" s="3"/>
      <c r="M38" s="2"/>
      <c r="N38" s="29"/>
      <c r="O38" s="29"/>
      <c r="P38" s="29"/>
      <c r="Q38" s="29"/>
      <c r="R38" s="29"/>
      <c r="S38" s="29"/>
      <c r="T38" s="29"/>
      <c r="U38" s="29"/>
      <c r="V38" s="29"/>
      <c r="W38" s="29"/>
      <c r="X38" s="30"/>
      <c r="Y38" s="30"/>
      <c r="Z38" s="121"/>
      <c r="AA38" s="2"/>
    </row>
    <row r="39" spans="1:27" s="124" customFormat="1" ht="54.95" customHeight="1">
      <c r="A39" s="3"/>
      <c r="B39" s="3"/>
      <c r="C39" s="125"/>
      <c r="D39" s="126"/>
      <c r="E39" s="126"/>
      <c r="F39" s="126"/>
      <c r="G39" s="126"/>
      <c r="H39" s="126"/>
      <c r="I39" s="126"/>
      <c r="J39" s="3"/>
      <c r="K39" s="3"/>
      <c r="L39" s="3"/>
      <c r="M39" s="2"/>
      <c r="N39" s="29"/>
      <c r="O39" s="29"/>
      <c r="P39" s="29"/>
      <c r="Q39" s="29"/>
      <c r="R39" s="29"/>
      <c r="S39" s="29"/>
      <c r="T39" s="29"/>
      <c r="U39" s="29"/>
      <c r="V39" s="29"/>
      <c r="W39" s="29"/>
      <c r="X39" s="30"/>
      <c r="Y39" s="30"/>
      <c r="Z39" s="121"/>
      <c r="AA39" s="2"/>
    </row>
    <row r="40" spans="1:27" s="124" customFormat="1" ht="54.95" customHeight="1">
      <c r="A40" s="3"/>
      <c r="B40" s="142"/>
      <c r="C40" s="125"/>
      <c r="D40" s="126"/>
      <c r="E40" s="126"/>
      <c r="F40" s="126"/>
      <c r="G40" s="126"/>
      <c r="H40" s="126"/>
      <c r="I40" s="126"/>
      <c r="J40" s="3"/>
      <c r="K40" s="3"/>
      <c r="L40" s="3"/>
      <c r="M40" s="2"/>
      <c r="N40" s="29"/>
      <c r="O40" s="29"/>
      <c r="P40" s="29"/>
      <c r="Q40" s="29"/>
      <c r="R40" s="29"/>
      <c r="S40" s="29"/>
      <c r="T40" s="29"/>
      <c r="U40" s="29"/>
      <c r="V40" s="29"/>
      <c r="W40" s="29"/>
      <c r="X40" s="30"/>
      <c r="Y40" s="30"/>
      <c r="Z40" s="121"/>
      <c r="AA40" s="2"/>
    </row>
    <row r="41" spans="1:27" ht="54.95" customHeight="1"/>
    <row r="42" spans="1:27" ht="54.95" customHeight="1"/>
    <row r="43" spans="1:27" ht="54.95" customHeight="1"/>
    <row r="44" spans="1:27" ht="54.95" customHeight="1"/>
    <row r="45" spans="1:27" ht="54.95" customHeight="1"/>
    <row r="46" spans="1:27" ht="54.95" customHeight="1"/>
    <row r="47" spans="1:27" ht="54.95" customHeight="1"/>
    <row r="48" spans="1:27" ht="54.95" customHeight="1"/>
    <row r="49" ht="54.95" customHeight="1"/>
    <row r="50" ht="54.95" customHeight="1"/>
    <row r="51" ht="54.95" customHeight="1"/>
    <row r="52" ht="54.95" customHeight="1"/>
    <row r="53" ht="54.95" customHeight="1"/>
    <row r="54" ht="54.95" customHeight="1"/>
    <row r="55" ht="54.95" customHeight="1"/>
    <row r="56" ht="54.95" customHeight="1"/>
    <row r="57" ht="54.95" customHeight="1"/>
    <row r="58" ht="54.95" customHeight="1"/>
    <row r="59" ht="54.95" customHeight="1"/>
    <row r="60" ht="54.95" customHeight="1"/>
    <row r="61" ht="54.95" customHeight="1"/>
    <row r="62" ht="54.95" customHeight="1"/>
    <row r="63" ht="54.95" customHeight="1"/>
    <row r="64" ht="54.95" customHeight="1"/>
    <row r="65" ht="54.95" customHeight="1"/>
    <row r="66" ht="54.95" customHeight="1"/>
    <row r="67" ht="54.95" customHeight="1"/>
    <row r="68" ht="54.95" customHeight="1"/>
    <row r="69" ht="54.95" customHeight="1"/>
    <row r="70" ht="54.95" customHeight="1"/>
    <row r="71" ht="54.95" customHeight="1"/>
    <row r="72" ht="54.95" customHeight="1"/>
    <row r="73" ht="54.95" customHeight="1"/>
    <row r="74" ht="54.95" customHeight="1"/>
    <row r="75" ht="54.95" customHeight="1"/>
    <row r="76" ht="54.95" customHeight="1"/>
    <row r="77" ht="54.95" customHeight="1"/>
    <row r="78" ht="54.95" customHeight="1"/>
    <row r="79" ht="54.95" customHeight="1"/>
    <row r="80" ht="54.95" customHeight="1"/>
    <row r="81" ht="54.95" customHeight="1"/>
    <row r="82" ht="54.95" customHeight="1"/>
    <row r="83" ht="54.95" customHeight="1"/>
    <row r="84" ht="54.95" customHeight="1"/>
    <row r="85" ht="54.95" customHeight="1"/>
    <row r="86" ht="54.95" customHeight="1"/>
    <row r="87" ht="54.95" customHeight="1"/>
    <row r="88" ht="54.95" customHeight="1"/>
    <row r="89" ht="54.95" customHeight="1"/>
    <row r="90" ht="54.95" customHeight="1"/>
    <row r="91" ht="54.95" customHeight="1"/>
    <row r="92" ht="54.95" customHeight="1"/>
    <row r="93" ht="54.95" customHeight="1"/>
    <row r="94" ht="54.95" customHeight="1"/>
    <row r="95" ht="54.95" customHeight="1"/>
    <row r="96" ht="54.95" customHeight="1"/>
    <row r="97" ht="54.95" customHeight="1"/>
    <row r="98" ht="54.95" customHeight="1"/>
    <row r="99" ht="54.95" customHeight="1"/>
    <row r="100" ht="54.95" customHeight="1"/>
    <row r="101" ht="54.95" customHeight="1"/>
    <row r="102" ht="54.95" customHeight="1"/>
    <row r="103" ht="54.95" customHeight="1"/>
    <row r="104" ht="54.95" customHeight="1"/>
    <row r="105" ht="54.95" customHeight="1"/>
    <row r="106" ht="54.95" customHeight="1"/>
    <row r="107" ht="54.95" customHeight="1"/>
    <row r="108" ht="54.95" customHeight="1"/>
    <row r="109" ht="54.95" customHeight="1"/>
    <row r="110" ht="54.95" customHeight="1"/>
    <row r="111" ht="54.95" customHeight="1"/>
    <row r="112" ht="54.95" customHeight="1"/>
    <row r="113" ht="54.95" customHeight="1"/>
    <row r="114" ht="54.95" customHeight="1"/>
    <row r="115" ht="54.95" customHeight="1"/>
    <row r="116" ht="54.95" customHeight="1"/>
    <row r="117" ht="54.95" customHeight="1"/>
    <row r="118" ht="54.95" customHeight="1"/>
    <row r="119" ht="54.95" customHeight="1"/>
    <row r="120" ht="54.95" customHeight="1"/>
    <row r="121" ht="54.95" customHeight="1"/>
    <row r="122" ht="54.95" customHeight="1"/>
    <row r="123" ht="54.95" customHeight="1"/>
    <row r="124" ht="54.95" customHeight="1"/>
    <row r="125" ht="54.95" customHeight="1"/>
    <row r="126" ht="54.95" customHeight="1"/>
    <row r="127" ht="54.95" customHeight="1"/>
    <row r="128" ht="54.95" customHeight="1"/>
    <row r="129" ht="54.95" customHeight="1"/>
    <row r="130" ht="54.95" customHeight="1"/>
    <row r="131" ht="54.95" customHeight="1"/>
    <row r="132" ht="54.95" customHeight="1"/>
    <row r="133" ht="54.95" customHeight="1"/>
    <row r="134" ht="54.95" customHeight="1"/>
    <row r="135" ht="54.95" customHeight="1"/>
    <row r="136" ht="54.95" customHeight="1"/>
    <row r="137" ht="54.95" customHeight="1"/>
    <row r="138" ht="54.95" customHeight="1"/>
    <row r="139" ht="54.95" customHeight="1"/>
    <row r="140" ht="54.95" customHeight="1"/>
    <row r="141" ht="54.95" customHeight="1"/>
    <row r="142" ht="54.95" customHeight="1"/>
    <row r="143" ht="54.95" customHeight="1"/>
    <row r="144" ht="54.95" customHeight="1"/>
    <row r="145" ht="54.95" customHeight="1"/>
    <row r="146" ht="54.95" customHeight="1"/>
    <row r="147" ht="54.95" customHeight="1"/>
    <row r="148" ht="54.95" customHeight="1"/>
    <row r="149" ht="54.95" customHeight="1"/>
    <row r="150" ht="54.95" customHeight="1"/>
    <row r="151" ht="54.95" customHeight="1"/>
    <row r="152" ht="54.95" customHeight="1"/>
    <row r="153" ht="54.95" customHeight="1"/>
    <row r="154" ht="54.95" customHeight="1"/>
    <row r="155" ht="54.95" customHeight="1"/>
    <row r="156" ht="54.95" customHeight="1"/>
    <row r="157" ht="54.95" customHeight="1"/>
    <row r="158" ht="54.95" customHeight="1"/>
    <row r="159" ht="54.95" customHeight="1"/>
    <row r="160" ht="54.95" customHeight="1"/>
    <row r="161" ht="54.95" customHeight="1"/>
    <row r="162" ht="54.95" customHeight="1"/>
    <row r="163" ht="54.95" customHeight="1"/>
    <row r="164" ht="54.95" customHeight="1"/>
    <row r="165" ht="54.95" customHeight="1"/>
    <row r="166" ht="54.95" customHeight="1"/>
    <row r="167" ht="54.95" customHeight="1"/>
    <row r="168" ht="54.95" customHeight="1"/>
    <row r="169" ht="54.95" customHeight="1"/>
    <row r="170" ht="54.95" customHeight="1"/>
    <row r="171" ht="54.95" customHeight="1"/>
    <row r="172" ht="54.95" customHeight="1"/>
    <row r="173" ht="54.95" customHeight="1"/>
    <row r="174" ht="54.95" customHeight="1"/>
    <row r="175" ht="54.95" customHeight="1"/>
    <row r="176" ht="54.95" customHeight="1"/>
    <row r="177" spans="1:26" ht="54.95" customHeight="1"/>
    <row r="178" spans="1:26" ht="54.95" customHeight="1"/>
    <row r="179" spans="1:26" ht="54.95" customHeight="1"/>
    <row r="180" spans="1:26" ht="54.95" customHeight="1"/>
    <row r="181" spans="1:26" ht="54.95" customHeight="1"/>
    <row r="182" spans="1:26" ht="54.95" customHeight="1"/>
    <row r="183" spans="1:26" ht="54.95" customHeight="1"/>
    <row r="184" spans="1:26" ht="54.95" customHeight="1"/>
    <row r="185" spans="1:26" s="2" customFormat="1" ht="54.95" customHeight="1">
      <c r="A185" s="3"/>
      <c r="B185" s="3"/>
      <c r="C185" s="125"/>
      <c r="D185" s="126"/>
      <c r="E185" s="126"/>
      <c r="F185" s="126"/>
      <c r="G185" s="126"/>
      <c r="H185" s="126"/>
      <c r="I185" s="126"/>
      <c r="J185" s="3"/>
      <c r="K185" s="3"/>
      <c r="L185" s="3"/>
      <c r="N185" s="29"/>
      <c r="O185" s="29"/>
      <c r="P185" s="29"/>
      <c r="Q185" s="29"/>
      <c r="R185" s="29"/>
      <c r="S185" s="29"/>
      <c r="T185" s="29"/>
      <c r="U185" s="29"/>
      <c r="V185" s="29"/>
      <c r="W185" s="29"/>
      <c r="X185" s="30"/>
      <c r="Y185" s="30"/>
      <c r="Z185" s="121"/>
    </row>
    <row r="186" spans="1:26" s="2" customFormat="1" ht="54.95" customHeight="1">
      <c r="A186" s="3"/>
      <c r="B186" s="3"/>
      <c r="C186" s="125"/>
      <c r="D186" s="126"/>
      <c r="E186" s="126"/>
      <c r="F186" s="126"/>
      <c r="G186" s="126"/>
      <c r="H186" s="126"/>
      <c r="I186" s="126"/>
      <c r="J186" s="3"/>
      <c r="K186" s="3"/>
      <c r="L186" s="3"/>
      <c r="N186" s="29"/>
      <c r="O186" s="29"/>
      <c r="P186" s="29"/>
      <c r="Q186" s="29"/>
      <c r="R186" s="29"/>
      <c r="S186" s="29"/>
      <c r="T186" s="29"/>
      <c r="U186" s="29"/>
      <c r="V186" s="29"/>
      <c r="W186" s="29"/>
      <c r="X186" s="30"/>
      <c r="Y186" s="30"/>
      <c r="Z186" s="121"/>
    </row>
    <row r="187" spans="1:26" s="2" customFormat="1" ht="54.95" customHeight="1">
      <c r="A187" s="3"/>
      <c r="B187" s="3"/>
      <c r="C187" s="125"/>
      <c r="D187" s="126"/>
      <c r="E187" s="126"/>
      <c r="F187" s="126"/>
      <c r="G187" s="126"/>
      <c r="H187" s="126"/>
      <c r="I187" s="126"/>
      <c r="J187" s="3"/>
      <c r="K187" s="3"/>
      <c r="L187" s="3"/>
      <c r="N187" s="29"/>
      <c r="O187" s="29"/>
      <c r="P187" s="29"/>
      <c r="Q187" s="29"/>
      <c r="R187" s="29"/>
      <c r="S187" s="29"/>
      <c r="T187" s="29"/>
      <c r="U187" s="29"/>
      <c r="V187" s="29"/>
      <c r="W187" s="29"/>
      <c r="X187" s="30"/>
      <c r="Y187" s="30"/>
      <c r="Z187" s="121"/>
    </row>
    <row r="188" spans="1:26" s="2" customFormat="1" ht="54.95" customHeight="1">
      <c r="A188" s="3"/>
      <c r="B188" s="3"/>
      <c r="C188" s="125"/>
      <c r="D188" s="126"/>
      <c r="E188" s="126"/>
      <c r="F188" s="126"/>
      <c r="G188" s="126"/>
      <c r="H188" s="126"/>
      <c r="I188" s="126"/>
      <c r="J188" s="3"/>
      <c r="K188" s="3"/>
      <c r="L188" s="3"/>
      <c r="N188" s="29"/>
      <c r="O188" s="29"/>
      <c r="P188" s="29"/>
      <c r="Q188" s="29"/>
      <c r="R188" s="29"/>
      <c r="S188" s="29"/>
      <c r="T188" s="29"/>
      <c r="U188" s="29"/>
      <c r="V188" s="29"/>
      <c r="W188" s="29"/>
      <c r="X188" s="30"/>
      <c r="Y188" s="30"/>
      <c r="Z188" s="121"/>
    </row>
    <row r="189" spans="1:26" s="2" customFormat="1" ht="54.95" customHeight="1">
      <c r="A189" s="3"/>
      <c r="B189" s="3"/>
      <c r="C189" s="125"/>
      <c r="D189" s="126"/>
      <c r="E189" s="126"/>
      <c r="F189" s="126"/>
      <c r="G189" s="126"/>
      <c r="H189" s="126"/>
      <c r="I189" s="126"/>
      <c r="J189" s="3"/>
      <c r="K189" s="3"/>
      <c r="L189" s="3"/>
      <c r="N189" s="29"/>
      <c r="O189" s="29"/>
      <c r="P189" s="29"/>
      <c r="Q189" s="29"/>
      <c r="R189" s="29"/>
      <c r="S189" s="29"/>
      <c r="T189" s="29"/>
      <c r="U189" s="29"/>
      <c r="V189" s="29"/>
      <c r="W189" s="29"/>
      <c r="X189" s="30"/>
      <c r="Y189" s="30"/>
      <c r="Z189" s="121"/>
    </row>
    <row r="190" spans="1:26" s="2" customFormat="1" ht="54.95" customHeight="1">
      <c r="A190" s="3"/>
      <c r="B190" s="3"/>
      <c r="C190" s="125"/>
      <c r="D190" s="126"/>
      <c r="E190" s="126"/>
      <c r="F190" s="126"/>
      <c r="G190" s="126"/>
      <c r="H190" s="126"/>
      <c r="I190" s="126"/>
      <c r="J190" s="3"/>
      <c r="K190" s="3"/>
      <c r="L190" s="3"/>
      <c r="N190" s="29"/>
      <c r="O190" s="29"/>
      <c r="P190" s="29"/>
      <c r="Q190" s="29"/>
      <c r="R190" s="29"/>
      <c r="S190" s="29"/>
      <c r="T190" s="29"/>
      <c r="U190" s="29"/>
      <c r="V190" s="29"/>
      <c r="W190" s="29"/>
      <c r="X190" s="30"/>
      <c r="Y190" s="30"/>
      <c r="Z190" s="121"/>
    </row>
    <row r="191" spans="1:26" s="2" customFormat="1" ht="54.95" customHeight="1">
      <c r="A191" s="3"/>
      <c r="B191" s="3"/>
      <c r="C191" s="125"/>
      <c r="D191" s="126"/>
      <c r="E191" s="126"/>
      <c r="F191" s="126"/>
      <c r="G191" s="126"/>
      <c r="H191" s="126"/>
      <c r="I191" s="126"/>
      <c r="J191" s="3"/>
      <c r="K191" s="3"/>
      <c r="L191" s="3"/>
      <c r="N191" s="29"/>
      <c r="O191" s="29"/>
      <c r="P191" s="29"/>
      <c r="Q191" s="29"/>
      <c r="R191" s="29"/>
      <c r="S191" s="29"/>
      <c r="T191" s="29"/>
      <c r="U191" s="29"/>
      <c r="V191" s="29"/>
      <c r="W191" s="29"/>
      <c r="X191" s="30"/>
      <c r="Y191" s="30"/>
      <c r="Z191" s="121"/>
    </row>
    <row r="192" spans="1:26" s="15" customFormat="1" ht="54.95" hidden="1" customHeight="1">
      <c r="B192" s="15" t="str">
        <f>$A$34</f>
        <v>كميت سنجه عملكرد همسان شده :</v>
      </c>
      <c r="C192" s="128" t="s">
        <v>161</v>
      </c>
      <c r="D192" s="129">
        <f>$L$34*[25]روکش!$D$3</f>
        <v>0</v>
      </c>
      <c r="E192" s="129"/>
      <c r="F192" s="129"/>
      <c r="G192" s="129"/>
      <c r="H192" s="129"/>
      <c r="I192" s="129"/>
      <c r="N192" s="29"/>
      <c r="O192" s="29"/>
      <c r="P192" s="29"/>
      <c r="Q192" s="29"/>
      <c r="R192" s="29"/>
      <c r="S192" s="29"/>
      <c r="T192" s="29"/>
      <c r="U192" s="29"/>
      <c r="V192" s="29"/>
      <c r="W192" s="29"/>
      <c r="X192" s="30"/>
      <c r="Y192" s="30"/>
      <c r="Z192" s="30"/>
    </row>
    <row r="193" spans="1:26" s="15" customFormat="1" ht="54.95" hidden="1" customHeight="1">
      <c r="C193" s="128" t="s">
        <v>162</v>
      </c>
      <c r="D193" s="129">
        <f>$M$34*[25]روکش!$D$3</f>
        <v>0</v>
      </c>
      <c r="E193" s="129"/>
      <c r="F193" s="129"/>
      <c r="G193" s="129"/>
      <c r="H193" s="129"/>
      <c r="I193" s="129"/>
      <c r="N193" s="29"/>
      <c r="O193" s="29"/>
      <c r="P193" s="29"/>
      <c r="Q193" s="29"/>
      <c r="R193" s="29"/>
      <c r="S193" s="29"/>
      <c r="T193" s="29"/>
      <c r="U193" s="29"/>
      <c r="V193" s="29"/>
      <c r="W193" s="29"/>
      <c r="X193" s="30"/>
      <c r="Y193" s="30"/>
      <c r="Z193" s="30"/>
    </row>
    <row r="194" spans="1:26" s="2" customFormat="1" ht="54.95" customHeight="1">
      <c r="A194" s="3"/>
      <c r="B194" s="3"/>
      <c r="C194" s="125"/>
      <c r="D194" s="126"/>
      <c r="E194" s="126"/>
      <c r="F194" s="126"/>
      <c r="G194" s="126"/>
      <c r="H194" s="126"/>
      <c r="I194" s="126"/>
      <c r="J194" s="3"/>
      <c r="K194" s="3"/>
      <c r="L194" s="3"/>
      <c r="N194" s="29"/>
      <c r="O194" s="29"/>
      <c r="P194" s="29"/>
      <c r="Q194" s="29"/>
      <c r="R194" s="29"/>
      <c r="S194" s="29"/>
      <c r="T194" s="29"/>
      <c r="U194" s="29"/>
      <c r="V194" s="29"/>
      <c r="W194" s="29"/>
      <c r="X194" s="30"/>
      <c r="Y194" s="30"/>
      <c r="Z194" s="121"/>
    </row>
    <row r="195" spans="1:26" s="2" customFormat="1" ht="54.95" customHeight="1">
      <c r="A195" s="3"/>
      <c r="B195" s="3"/>
      <c r="C195" s="125"/>
      <c r="D195" s="126"/>
      <c r="E195" s="126"/>
      <c r="F195" s="126"/>
      <c r="G195" s="126"/>
      <c r="H195" s="126"/>
      <c r="I195" s="126"/>
      <c r="J195" s="3"/>
      <c r="K195" s="3"/>
      <c r="L195" s="3"/>
      <c r="N195" s="29"/>
      <c r="O195" s="29"/>
      <c r="P195" s="29"/>
      <c r="Q195" s="29"/>
      <c r="R195" s="29"/>
      <c r="S195" s="29"/>
      <c r="T195" s="29"/>
      <c r="U195" s="29"/>
      <c r="V195" s="29"/>
      <c r="W195" s="29"/>
      <c r="X195" s="30"/>
      <c r="Y195" s="30"/>
      <c r="Z195" s="121"/>
    </row>
    <row r="196" spans="1:26" s="2" customFormat="1" ht="54.95" customHeight="1">
      <c r="A196" s="3"/>
      <c r="B196" s="3"/>
      <c r="C196" s="125"/>
      <c r="D196" s="126"/>
      <c r="E196" s="126"/>
      <c r="F196" s="126"/>
      <c r="G196" s="126"/>
      <c r="H196" s="126"/>
      <c r="I196" s="126"/>
      <c r="J196" s="3"/>
      <c r="K196" s="3"/>
      <c r="L196" s="3"/>
      <c r="N196" s="29"/>
      <c r="O196" s="29"/>
      <c r="P196" s="29"/>
      <c r="Q196" s="29"/>
      <c r="R196" s="29"/>
      <c r="S196" s="29"/>
      <c r="T196" s="29"/>
      <c r="U196" s="29"/>
      <c r="V196" s="29"/>
      <c r="W196" s="29"/>
      <c r="X196" s="30"/>
      <c r="Y196" s="30"/>
      <c r="Z196" s="121"/>
    </row>
    <row r="197" spans="1:26" s="2" customFormat="1" ht="54.95" customHeight="1">
      <c r="A197" s="3"/>
      <c r="B197" s="3"/>
      <c r="C197" s="125"/>
      <c r="D197" s="126"/>
      <c r="E197" s="126"/>
      <c r="F197" s="126"/>
      <c r="G197" s="126"/>
      <c r="H197" s="126"/>
      <c r="I197" s="126"/>
      <c r="J197" s="3"/>
      <c r="K197" s="3"/>
      <c r="L197" s="3"/>
      <c r="N197" s="29"/>
      <c r="O197" s="29"/>
      <c r="P197" s="29"/>
      <c r="Q197" s="29"/>
      <c r="R197" s="29"/>
      <c r="S197" s="29"/>
      <c r="T197" s="29"/>
      <c r="U197" s="29"/>
      <c r="V197" s="29"/>
      <c r="W197" s="29"/>
      <c r="X197" s="30"/>
      <c r="Y197" s="30"/>
      <c r="Z197" s="121"/>
    </row>
    <row r="198" spans="1:26" s="2" customFormat="1" ht="54.95" customHeight="1">
      <c r="A198" s="3"/>
      <c r="B198" s="3"/>
      <c r="C198" s="125"/>
      <c r="D198" s="126"/>
      <c r="E198" s="126"/>
      <c r="F198" s="126"/>
      <c r="G198" s="126"/>
      <c r="H198" s="126"/>
      <c r="I198" s="126"/>
      <c r="J198" s="3"/>
      <c r="K198" s="3"/>
      <c r="L198" s="3"/>
      <c r="N198" s="29"/>
      <c r="O198" s="29"/>
      <c r="P198" s="29"/>
      <c r="Q198" s="29"/>
      <c r="R198" s="29"/>
      <c r="S198" s="29"/>
      <c r="T198" s="29"/>
      <c r="U198" s="29"/>
      <c r="V198" s="29"/>
      <c r="W198" s="29"/>
      <c r="X198" s="30"/>
      <c r="Y198" s="30"/>
      <c r="Z198" s="121"/>
    </row>
    <row r="199" spans="1:26" s="2" customFormat="1" ht="54.95" customHeight="1">
      <c r="A199" s="3"/>
      <c r="B199" s="3"/>
      <c r="C199" s="125"/>
      <c r="D199" s="126"/>
      <c r="E199" s="126"/>
      <c r="F199" s="126"/>
      <c r="G199" s="126"/>
      <c r="H199" s="126"/>
      <c r="I199" s="126"/>
      <c r="J199" s="3"/>
      <c r="K199" s="3"/>
      <c r="L199" s="3"/>
      <c r="N199" s="29"/>
      <c r="O199" s="29"/>
      <c r="P199" s="29"/>
      <c r="Q199" s="29"/>
      <c r="R199" s="29"/>
      <c r="S199" s="29"/>
      <c r="T199" s="29"/>
      <c r="U199" s="29"/>
      <c r="V199" s="29"/>
      <c r="W199" s="29"/>
      <c r="X199" s="30"/>
      <c r="Y199" s="30"/>
      <c r="Z199" s="121"/>
    </row>
    <row r="200" spans="1:26" s="2" customFormat="1" ht="54.95" customHeight="1">
      <c r="A200" s="3"/>
      <c r="B200" s="3"/>
      <c r="C200" s="125"/>
      <c r="D200" s="126"/>
      <c r="E200" s="126"/>
      <c r="F200" s="126"/>
      <c r="G200" s="126"/>
      <c r="H200" s="126"/>
      <c r="I200" s="126"/>
      <c r="J200" s="3"/>
      <c r="K200" s="3"/>
      <c r="L200" s="3"/>
      <c r="N200" s="29"/>
      <c r="O200" s="29"/>
      <c r="P200" s="29"/>
      <c r="Q200" s="29"/>
      <c r="R200" s="29"/>
      <c r="S200" s="29"/>
      <c r="T200" s="29"/>
      <c r="U200" s="29"/>
      <c r="V200" s="29"/>
      <c r="W200" s="29"/>
      <c r="X200" s="30"/>
      <c r="Y200" s="30"/>
      <c r="Z200" s="121"/>
    </row>
    <row r="201" spans="1:26" ht="54.95" customHeight="1"/>
    <row r="202" spans="1:26" ht="54.95" customHeight="1"/>
    <row r="203" spans="1:26" ht="54.95" customHeight="1"/>
    <row r="204" spans="1:26" ht="54.95" customHeight="1"/>
    <row r="205" spans="1:26" ht="54.95" customHeight="1"/>
    <row r="206" spans="1:26" ht="54.95" customHeight="1"/>
    <row r="207" spans="1:26" ht="54.95" customHeight="1"/>
    <row r="208" spans="1:26" ht="54.95" customHeight="1"/>
    <row r="209" ht="54.95" customHeight="1"/>
    <row r="210" ht="54.95" customHeight="1"/>
    <row r="211" ht="54.95" customHeight="1"/>
    <row r="212" ht="54.95" customHeight="1"/>
    <row r="213" ht="54.95" customHeight="1"/>
    <row r="214" ht="54.95" customHeight="1"/>
    <row r="215" ht="54.95" customHeight="1"/>
    <row r="216" ht="54.95" customHeight="1"/>
    <row r="217" ht="54.95" customHeight="1"/>
    <row r="218" ht="54.95" customHeight="1"/>
  </sheetData>
  <mergeCells count="13">
    <mergeCell ref="A34:B34"/>
    <mergeCell ref="C34:K34"/>
    <mergeCell ref="A35:L35"/>
    <mergeCell ref="A1:M1"/>
    <mergeCell ref="B2:B3"/>
    <mergeCell ref="C2:C3"/>
    <mergeCell ref="D2:G2"/>
    <mergeCell ref="H2:H3"/>
    <mergeCell ref="I2:I3"/>
    <mergeCell ref="J2:J3"/>
    <mergeCell ref="K2:K3"/>
    <mergeCell ref="L2:L3"/>
    <mergeCell ref="M2:M3"/>
  </mergeCells>
  <pageMargins left="0.7" right="0.7" top="0.75" bottom="0.75" header="0.3" footer="0.3"/>
  <pageSetup paperSize="9" scale="62"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0"/>
  <sheetViews>
    <sheetView showGridLines="0" rightToLeft="1" workbookViewId="0">
      <pane xSplit="11" topLeftCell="L1" activePane="topRight" state="frozen"/>
      <selection pane="topRight" activeCell="M4" sqref="M4"/>
    </sheetView>
  </sheetViews>
  <sheetFormatPr defaultColWidth="10.6640625" defaultRowHeight="21.75"/>
  <cols>
    <col min="1" max="1" width="8.1640625" style="21" customWidth="1"/>
    <col min="2" max="2" width="26.6640625" style="21" customWidth="1"/>
    <col min="3" max="11" width="15.83203125" style="21" customWidth="1"/>
    <col min="12" max="12" width="11.6640625" style="19" customWidth="1"/>
    <col min="13" max="13" width="11.6640625" style="20" customWidth="1"/>
    <col min="14" max="16384" width="10.6640625" style="21"/>
  </cols>
  <sheetData>
    <row r="1" spans="1:24" s="3" customFormat="1" ht="54" customHeight="1">
      <c r="A1" s="355" t="s">
        <v>48</v>
      </c>
      <c r="B1" s="355"/>
      <c r="C1" s="355"/>
      <c r="D1" s="355"/>
      <c r="E1" s="355"/>
      <c r="F1" s="355"/>
      <c r="G1" s="355"/>
      <c r="H1" s="355"/>
      <c r="I1" s="355"/>
      <c r="J1" s="355"/>
      <c r="K1" s="355"/>
      <c r="L1" s="14"/>
      <c r="M1" s="2"/>
      <c r="N1" s="15"/>
      <c r="O1" s="15"/>
      <c r="P1" s="15"/>
      <c r="Q1" s="15"/>
      <c r="R1" s="15"/>
      <c r="S1" s="15"/>
      <c r="T1" s="15"/>
      <c r="U1" s="15"/>
      <c r="V1" s="15"/>
      <c r="W1" s="6"/>
      <c r="X1" s="2"/>
    </row>
    <row r="2" spans="1:24" s="3" customFormat="1" ht="23.25" customHeight="1">
      <c r="A2" s="356" t="s">
        <v>0</v>
      </c>
      <c r="B2" s="356" t="s">
        <v>11</v>
      </c>
      <c r="C2" s="356" t="s">
        <v>2</v>
      </c>
      <c r="D2" s="356" t="s">
        <v>12</v>
      </c>
      <c r="E2" s="356" t="s">
        <v>13</v>
      </c>
      <c r="F2" s="356"/>
      <c r="G2" s="356"/>
      <c r="H2" s="356"/>
      <c r="I2" s="356"/>
      <c r="J2" s="356"/>
      <c r="K2" s="356"/>
      <c r="L2" s="14"/>
      <c r="M2" s="2"/>
      <c r="N2" s="15"/>
      <c r="O2" s="15"/>
      <c r="P2" s="15"/>
      <c r="Q2" s="15"/>
      <c r="R2" s="15"/>
      <c r="S2" s="15"/>
      <c r="T2" s="15"/>
      <c r="U2" s="15"/>
      <c r="V2" s="15"/>
      <c r="W2" s="6"/>
      <c r="X2" s="2"/>
    </row>
    <row r="3" spans="1:24" s="3" customFormat="1" ht="20.25" customHeight="1">
      <c r="A3" s="356"/>
      <c r="B3" s="356"/>
      <c r="C3" s="356"/>
      <c r="D3" s="356"/>
      <c r="E3" s="181">
        <v>1395</v>
      </c>
      <c r="F3" s="181">
        <v>1396</v>
      </c>
      <c r="G3" s="181">
        <v>1397</v>
      </c>
      <c r="H3" s="181">
        <v>1398</v>
      </c>
      <c r="I3" s="181">
        <v>1399</v>
      </c>
      <c r="J3" s="337">
        <v>1400</v>
      </c>
      <c r="K3" s="181">
        <v>1401</v>
      </c>
      <c r="L3" s="14"/>
      <c r="M3" s="2"/>
      <c r="N3" s="15"/>
      <c r="O3" s="15"/>
      <c r="P3" s="15"/>
      <c r="Q3" s="15"/>
      <c r="R3" s="15"/>
      <c r="S3" s="15"/>
      <c r="T3" s="15"/>
      <c r="U3" s="15"/>
      <c r="V3" s="15"/>
      <c r="W3" s="6"/>
      <c r="X3" s="2"/>
    </row>
    <row r="4" spans="1:24" s="3" customFormat="1" ht="30" customHeight="1">
      <c r="A4" s="185">
        <v>1</v>
      </c>
      <c r="B4" s="183" t="s">
        <v>14</v>
      </c>
      <c r="C4" s="183" t="s">
        <v>6</v>
      </c>
      <c r="D4" s="184">
        <v>1.2107408108429005</v>
      </c>
      <c r="E4" s="184">
        <v>1.3318148919271906</v>
      </c>
      <c r="F4" s="184">
        <v>1.39840563652355</v>
      </c>
      <c r="G4" s="184">
        <v>1.4683259183497275</v>
      </c>
      <c r="H4" s="184">
        <v>1.5417422142672139</v>
      </c>
      <c r="I4" s="184">
        <v>1.6188293249805745</v>
      </c>
      <c r="J4" s="184">
        <v>1.6997707912296034</v>
      </c>
      <c r="K4" s="184">
        <v>1.7847593307910836</v>
      </c>
      <c r="L4" s="16"/>
      <c r="M4" s="2"/>
      <c r="N4" s="15"/>
      <c r="O4" s="15"/>
      <c r="P4" s="15"/>
      <c r="Q4" s="15"/>
      <c r="R4" s="15"/>
      <c r="S4" s="15"/>
      <c r="T4" s="15"/>
      <c r="U4" s="15"/>
      <c r="V4" s="15"/>
      <c r="W4" s="6"/>
      <c r="X4" s="2"/>
    </row>
    <row r="5" spans="1:24" s="3" customFormat="1" ht="30" customHeight="1">
      <c r="A5" s="185">
        <v>2</v>
      </c>
      <c r="B5" s="183" t="s">
        <v>15</v>
      </c>
      <c r="C5" s="183" t="s">
        <v>6</v>
      </c>
      <c r="D5" s="184">
        <v>1.6561517319335362</v>
      </c>
      <c r="E5" s="184">
        <v>1.8217669051268899</v>
      </c>
      <c r="F5" s="184">
        <v>1.9128552503832343</v>
      </c>
      <c r="G5" s="184">
        <v>2.0084980129023959</v>
      </c>
      <c r="H5" s="184">
        <v>2.1089229135475156</v>
      </c>
      <c r="I5" s="184">
        <v>2.2143690592248912</v>
      </c>
      <c r="J5" s="184">
        <v>2.3250875121861361</v>
      </c>
      <c r="K5" s="184">
        <v>2.4413418877954429</v>
      </c>
      <c r="L5" s="16"/>
      <c r="M5" s="2"/>
      <c r="N5" s="15"/>
      <c r="O5" s="15"/>
      <c r="P5" s="15"/>
      <c r="Q5" s="15"/>
      <c r="R5" s="15"/>
      <c r="S5" s="15"/>
      <c r="T5" s="15"/>
      <c r="U5" s="15"/>
      <c r="V5" s="15"/>
      <c r="W5" s="6"/>
      <c r="X5" s="2"/>
    </row>
    <row r="6" spans="1:24" s="3" customFormat="1" ht="30" customHeight="1">
      <c r="A6" s="185">
        <v>3</v>
      </c>
      <c r="B6" s="183" t="s">
        <v>16</v>
      </c>
      <c r="C6" s="183" t="s">
        <v>6</v>
      </c>
      <c r="D6" s="184">
        <v>0.66697036114871422</v>
      </c>
      <c r="E6" s="184">
        <v>0.73366739726358565</v>
      </c>
      <c r="F6" s="184">
        <v>0.77035076712676487</v>
      </c>
      <c r="G6" s="184">
        <v>0.80886830548310307</v>
      </c>
      <c r="H6" s="184">
        <v>0.84931172075725825</v>
      </c>
      <c r="I6" s="184">
        <v>0.89177730679512113</v>
      </c>
      <c r="J6" s="184">
        <v>0.93636617213487727</v>
      </c>
      <c r="K6" s="184">
        <v>0.98318448074162113</v>
      </c>
      <c r="L6" s="16"/>
      <c r="M6" s="2"/>
      <c r="N6" s="15"/>
      <c r="O6" s="15"/>
      <c r="P6" s="15"/>
      <c r="Q6" s="15"/>
      <c r="R6" s="15"/>
      <c r="S6" s="15"/>
      <c r="T6" s="15"/>
      <c r="U6" s="15"/>
      <c r="V6" s="15"/>
      <c r="W6" s="6"/>
      <c r="X6" s="2"/>
    </row>
    <row r="7" spans="1:24" s="3" customFormat="1" ht="30" customHeight="1">
      <c r="A7" s="185">
        <v>4</v>
      </c>
      <c r="B7" s="183" t="s">
        <v>17</v>
      </c>
      <c r="C7" s="183" t="s">
        <v>6</v>
      </c>
      <c r="D7" s="184">
        <v>1.9115328585005367</v>
      </c>
      <c r="E7" s="184">
        <v>2.1026861443505904</v>
      </c>
      <c r="F7" s="184">
        <v>2.2078204515681197</v>
      </c>
      <c r="G7" s="184">
        <v>2.3182114741465258</v>
      </c>
      <c r="H7" s="184">
        <v>2.4341220478538519</v>
      </c>
      <c r="I7" s="184">
        <v>2.5558281502465445</v>
      </c>
      <c r="J7" s="184">
        <v>2.6836195577588717</v>
      </c>
      <c r="K7" s="184">
        <v>2.8178005356468154</v>
      </c>
      <c r="L7" s="16"/>
      <c r="M7" s="2"/>
      <c r="N7" s="15"/>
      <c r="O7" s="15"/>
      <c r="P7" s="15"/>
      <c r="Q7" s="15"/>
      <c r="R7" s="15"/>
      <c r="S7" s="15"/>
      <c r="T7" s="15"/>
      <c r="U7" s="15"/>
      <c r="V7" s="15"/>
      <c r="W7" s="6"/>
      <c r="X7" s="2"/>
    </row>
    <row r="8" spans="1:24" s="3" customFormat="1" ht="30" customHeight="1">
      <c r="A8" s="185">
        <v>5</v>
      </c>
      <c r="B8" s="183" t="s">
        <v>18</v>
      </c>
      <c r="C8" s="183" t="s">
        <v>6</v>
      </c>
      <c r="D8" s="184">
        <v>1.2365038035182712</v>
      </c>
      <c r="E8" s="184">
        <v>1.3601541838700983</v>
      </c>
      <c r="F8" s="184">
        <v>1.4281618930636031</v>
      </c>
      <c r="G8" s="184">
        <v>1.4995699877167832</v>
      </c>
      <c r="H8" s="184">
        <v>1.5745484871026223</v>
      </c>
      <c r="I8" s="184">
        <v>1.6532759114577533</v>
      </c>
      <c r="J8" s="184">
        <v>1.735939707030641</v>
      </c>
      <c r="K8" s="184">
        <v>1.8227366923821731</v>
      </c>
      <c r="L8" s="16"/>
      <c r="M8" s="2"/>
      <c r="N8" s="15"/>
      <c r="O8" s="15"/>
      <c r="P8" s="15"/>
      <c r="Q8" s="15"/>
      <c r="R8" s="15"/>
      <c r="S8" s="15"/>
      <c r="T8" s="15"/>
      <c r="U8" s="15"/>
      <c r="V8" s="15"/>
      <c r="W8" s="6"/>
      <c r="X8" s="2"/>
    </row>
    <row r="9" spans="1:24" s="3" customFormat="1" ht="30" customHeight="1">
      <c r="A9" s="185">
        <v>6</v>
      </c>
      <c r="B9" s="183" t="s">
        <v>19</v>
      </c>
      <c r="C9" s="183" t="s">
        <v>6</v>
      </c>
      <c r="D9" s="184">
        <v>0.30572054766238299</v>
      </c>
      <c r="E9" s="184">
        <v>0.3362926024286213</v>
      </c>
      <c r="F9" s="184">
        <v>0.35310723255005233</v>
      </c>
      <c r="G9" s="184">
        <v>0.37076259417755497</v>
      </c>
      <c r="H9" s="184">
        <v>0.38930072388643266</v>
      </c>
      <c r="I9" s="184">
        <v>0.40876576008075433</v>
      </c>
      <c r="J9" s="184">
        <v>0.42920404808479207</v>
      </c>
      <c r="K9" s="184">
        <v>0.45066425048903169</v>
      </c>
      <c r="L9" s="16"/>
      <c r="M9" s="2"/>
      <c r="N9" s="15"/>
      <c r="O9" s="15"/>
      <c r="P9" s="15"/>
      <c r="Q9" s="15"/>
      <c r="R9" s="15"/>
      <c r="S9" s="15"/>
      <c r="T9" s="15"/>
      <c r="U9" s="15"/>
      <c r="V9" s="15"/>
      <c r="W9" s="6"/>
      <c r="X9" s="2"/>
    </row>
    <row r="10" spans="1:24" s="3" customFormat="1" ht="30" customHeight="1">
      <c r="A10" s="185">
        <v>7</v>
      </c>
      <c r="B10" s="183" t="s">
        <v>20</v>
      </c>
      <c r="C10" s="183" t="s">
        <v>6</v>
      </c>
      <c r="D10" s="184">
        <v>0.9121034198883069</v>
      </c>
      <c r="E10" s="184">
        <v>1.0033137618771375</v>
      </c>
      <c r="F10" s="184">
        <v>1.0534794499709943</v>
      </c>
      <c r="G10" s="184">
        <v>1.1061534224695442</v>
      </c>
      <c r="H10" s="184">
        <v>1.1614610935930212</v>
      </c>
      <c r="I10" s="184">
        <v>1.2195341482726723</v>
      </c>
      <c r="J10" s="184">
        <v>1.2805108556863058</v>
      </c>
      <c r="K10" s="184">
        <v>1.3445363984706211</v>
      </c>
      <c r="L10" s="16"/>
      <c r="M10" s="2"/>
      <c r="N10" s="15"/>
      <c r="O10" s="15"/>
      <c r="P10" s="15"/>
      <c r="Q10" s="15"/>
      <c r="R10" s="15"/>
      <c r="S10" s="15"/>
      <c r="T10" s="15"/>
      <c r="U10" s="15"/>
      <c r="V10" s="15"/>
      <c r="W10" s="6"/>
      <c r="X10" s="2"/>
    </row>
    <row r="11" spans="1:24" s="3" customFormat="1" ht="30" customHeight="1">
      <c r="A11" s="185">
        <v>8</v>
      </c>
      <c r="B11" s="183" t="s">
        <v>21</v>
      </c>
      <c r="C11" s="183" t="s">
        <v>6</v>
      </c>
      <c r="D11" s="184">
        <v>2.1241269331031369</v>
      </c>
      <c r="E11" s="184">
        <v>2.3365396264134506</v>
      </c>
      <c r="F11" s="184">
        <v>2.453366607734123</v>
      </c>
      <c r="G11" s="184">
        <v>2.576034938120829</v>
      </c>
      <c r="H11" s="184">
        <v>2.7048366850268706</v>
      </c>
      <c r="I11" s="184">
        <v>2.8400785192782139</v>
      </c>
      <c r="J11" s="184">
        <v>2.9820824452421242</v>
      </c>
      <c r="K11" s="184">
        <v>3.1311865675042299</v>
      </c>
      <c r="L11" s="16"/>
      <c r="M11" s="2"/>
      <c r="N11" s="15"/>
      <c r="O11" s="15"/>
      <c r="P11" s="15"/>
      <c r="Q11" s="15"/>
      <c r="R11" s="15"/>
      <c r="S11" s="15"/>
      <c r="T11" s="15"/>
      <c r="U11" s="15"/>
      <c r="V11" s="15"/>
      <c r="W11" s="6"/>
      <c r="X11" s="2"/>
    </row>
    <row r="12" spans="1:24" s="3" customFormat="1" ht="30" customHeight="1">
      <c r="A12" s="185">
        <v>9</v>
      </c>
      <c r="B12" s="183" t="s">
        <v>22</v>
      </c>
      <c r="C12" s="183" t="s">
        <v>6</v>
      </c>
      <c r="D12" s="184">
        <v>9.4429302426400907E-2</v>
      </c>
      <c r="E12" s="184">
        <v>0.103872232669041</v>
      </c>
      <c r="F12" s="184">
        <v>0.10906584430249304</v>
      </c>
      <c r="G12" s="184">
        <v>0.11451913651761769</v>
      </c>
      <c r="H12" s="184">
        <v>0.12024509334349857</v>
      </c>
      <c r="I12" s="184">
        <v>0.12625734801067351</v>
      </c>
      <c r="J12" s="184">
        <v>0.1325702154112072</v>
      </c>
      <c r="K12" s="184">
        <v>0.13919872618176757</v>
      </c>
      <c r="L12" s="16"/>
      <c r="M12" s="2"/>
      <c r="N12" s="15"/>
      <c r="O12" s="15"/>
      <c r="P12" s="15"/>
      <c r="Q12" s="15"/>
      <c r="R12" s="15"/>
      <c r="S12" s="15"/>
      <c r="T12" s="15"/>
      <c r="U12" s="15"/>
      <c r="V12" s="15"/>
      <c r="W12" s="6"/>
      <c r="X12" s="2"/>
    </row>
    <row r="13" spans="1:24" s="3" customFormat="1" ht="30" customHeight="1">
      <c r="A13" s="185">
        <v>10</v>
      </c>
      <c r="B13" s="183" t="s">
        <v>23</v>
      </c>
      <c r="C13" s="183" t="s">
        <v>6</v>
      </c>
      <c r="D13" s="184">
        <v>0.69317943626391909</v>
      </c>
      <c r="E13" s="184">
        <v>0.76249737989031097</v>
      </c>
      <c r="F13" s="184">
        <v>0.80062224888482647</v>
      </c>
      <c r="G13" s="184">
        <v>0.84065336132906776</v>
      </c>
      <c r="H13" s="184">
        <v>0.8826860293955211</v>
      </c>
      <c r="I13" s="184">
        <v>0.92682033086529714</v>
      </c>
      <c r="J13" s="184">
        <v>0.97316134740856208</v>
      </c>
      <c r="K13" s="184">
        <v>1.0218194147789903</v>
      </c>
      <c r="L13" s="16"/>
      <c r="M13" s="2"/>
      <c r="N13" s="15"/>
      <c r="O13" s="15"/>
      <c r="P13" s="15"/>
      <c r="Q13" s="15"/>
      <c r="R13" s="15"/>
      <c r="S13" s="15"/>
      <c r="T13" s="15"/>
      <c r="U13" s="15"/>
      <c r="V13" s="15"/>
      <c r="W13" s="6"/>
      <c r="X13" s="2"/>
    </row>
    <row r="14" spans="1:24" s="3" customFormat="1" ht="30" customHeight="1">
      <c r="A14" s="185">
        <v>11</v>
      </c>
      <c r="B14" s="183" t="s">
        <v>24</v>
      </c>
      <c r="C14" s="183" t="s">
        <v>6</v>
      </c>
      <c r="D14" s="184">
        <v>0.63741090886138252</v>
      </c>
      <c r="E14" s="184">
        <v>0.70115199974752074</v>
      </c>
      <c r="F14" s="184">
        <v>0.73620959973489675</v>
      </c>
      <c r="G14" s="184">
        <v>0.77302007972164155</v>
      </c>
      <c r="H14" s="184">
        <v>0.81167108370772356</v>
      </c>
      <c r="I14" s="184">
        <v>0.85225463789310973</v>
      </c>
      <c r="J14" s="184">
        <v>0.89486736978776527</v>
      </c>
      <c r="K14" s="184">
        <v>0.93961073827715358</v>
      </c>
      <c r="L14" s="16"/>
      <c r="M14" s="2"/>
      <c r="N14" s="15"/>
      <c r="O14" s="15"/>
      <c r="P14" s="15"/>
      <c r="Q14" s="15"/>
      <c r="R14" s="15"/>
      <c r="S14" s="15"/>
      <c r="T14" s="15"/>
      <c r="U14" s="15"/>
      <c r="V14" s="15"/>
      <c r="W14" s="6"/>
      <c r="X14" s="2"/>
    </row>
    <row r="15" spans="1:24" s="3" customFormat="1" ht="30" customHeight="1">
      <c r="A15" s="185">
        <v>12</v>
      </c>
      <c r="B15" s="183" t="s">
        <v>25</v>
      </c>
      <c r="C15" s="183" t="s">
        <v>6</v>
      </c>
      <c r="D15" s="184">
        <v>1.9133939725854028</v>
      </c>
      <c r="E15" s="184">
        <v>2.104733369843943</v>
      </c>
      <c r="F15" s="184">
        <v>2.2099700383361403</v>
      </c>
      <c r="G15" s="184">
        <v>2.3204685402529472</v>
      </c>
      <c r="H15" s="184">
        <v>2.4364919672655945</v>
      </c>
      <c r="I15" s="184">
        <v>2.558316565628874</v>
      </c>
      <c r="J15" s="184">
        <v>2.6862323939103172</v>
      </c>
      <c r="K15" s="184">
        <v>2.8205440136058324</v>
      </c>
      <c r="L15" s="16"/>
      <c r="M15" s="2"/>
      <c r="N15" s="15"/>
      <c r="O15" s="15"/>
      <c r="P15" s="15"/>
      <c r="Q15" s="15"/>
      <c r="R15" s="15"/>
      <c r="S15" s="15"/>
      <c r="T15" s="15"/>
      <c r="U15" s="15"/>
      <c r="V15" s="15"/>
      <c r="W15" s="6"/>
      <c r="X15" s="2"/>
    </row>
    <row r="16" spans="1:24" s="3" customFormat="1" ht="30" customHeight="1">
      <c r="A16" s="185">
        <v>13</v>
      </c>
      <c r="B16" s="183" t="s">
        <v>26</v>
      </c>
      <c r="C16" s="183" t="s">
        <v>6</v>
      </c>
      <c r="D16" s="184">
        <v>0.40384534596737948</v>
      </c>
      <c r="E16" s="184">
        <v>0.44422988056411744</v>
      </c>
      <c r="F16" s="184">
        <v>0.46644137459232332</v>
      </c>
      <c r="G16" s="184">
        <v>0.48976344332193944</v>
      </c>
      <c r="H16" s="184">
        <v>0.51425161548803644</v>
      </c>
      <c r="I16" s="184">
        <v>0.53996419626243819</v>
      </c>
      <c r="J16" s="184">
        <v>0.56696240607556003</v>
      </c>
      <c r="K16" s="184">
        <v>0.5953105263793379</v>
      </c>
      <c r="L16" s="16"/>
      <c r="M16" s="2"/>
      <c r="N16" s="15"/>
      <c r="O16" s="15"/>
      <c r="P16" s="15"/>
      <c r="Q16" s="15"/>
      <c r="R16" s="15"/>
      <c r="S16" s="15"/>
      <c r="T16" s="15"/>
      <c r="U16" s="15"/>
      <c r="V16" s="15"/>
      <c r="W16" s="6"/>
      <c r="X16" s="2"/>
    </row>
    <row r="17" spans="1:24" s="3" customFormat="1" ht="30" customHeight="1">
      <c r="A17" s="185">
        <v>14</v>
      </c>
      <c r="B17" s="183" t="s">
        <v>27</v>
      </c>
      <c r="C17" s="183" t="s">
        <v>6</v>
      </c>
      <c r="D17" s="184">
        <v>1.5522307532250299</v>
      </c>
      <c r="E17" s="184">
        <v>1.7074538285475329</v>
      </c>
      <c r="F17" s="184">
        <v>1.7928265199749094</v>
      </c>
      <c r="G17" s="184">
        <v>1.8824678459736548</v>
      </c>
      <c r="H17" s="184">
        <v>1.9765912382723376</v>
      </c>
      <c r="I17" s="184">
        <v>2.0754208001859542</v>
      </c>
      <c r="J17" s="184">
        <v>2.1791918401952515</v>
      </c>
      <c r="K17" s="184">
        <v>2.2881514322050136</v>
      </c>
      <c r="L17" s="16"/>
      <c r="M17" s="2"/>
      <c r="N17" s="15"/>
      <c r="O17" s="15"/>
      <c r="P17" s="15"/>
      <c r="Q17" s="15"/>
      <c r="R17" s="15"/>
      <c r="S17" s="15"/>
      <c r="T17" s="15"/>
      <c r="U17" s="15"/>
      <c r="V17" s="15"/>
      <c r="W17" s="6"/>
      <c r="X17" s="2"/>
    </row>
    <row r="18" spans="1:24" s="3" customFormat="1" ht="30" customHeight="1">
      <c r="A18" s="185">
        <v>15</v>
      </c>
      <c r="B18" s="183" t="s">
        <v>28</v>
      </c>
      <c r="C18" s="183" t="s">
        <v>6</v>
      </c>
      <c r="D18" s="184">
        <v>0.40239894154198264</v>
      </c>
      <c r="E18" s="184">
        <v>0.4426388356961809</v>
      </c>
      <c r="F18" s="184">
        <v>0.46477077748098994</v>
      </c>
      <c r="G18" s="184">
        <v>0.48800931635503941</v>
      </c>
      <c r="H18" s="184">
        <v>0.51240978217279132</v>
      </c>
      <c r="I18" s="184">
        <v>0.53803027128143088</v>
      </c>
      <c r="J18" s="184">
        <v>0.56493178484550244</v>
      </c>
      <c r="K18" s="184">
        <v>0.59317837408777763</v>
      </c>
      <c r="L18" s="16"/>
      <c r="M18" s="2"/>
      <c r="N18" s="15"/>
      <c r="O18" s="15"/>
      <c r="P18" s="15"/>
      <c r="Q18" s="15"/>
      <c r="R18" s="15"/>
      <c r="S18" s="15"/>
      <c r="T18" s="15"/>
      <c r="U18" s="15"/>
      <c r="V18" s="15"/>
      <c r="W18" s="6"/>
      <c r="X18" s="2"/>
    </row>
    <row r="19" spans="1:24" s="3" customFormat="1" ht="30" customHeight="1">
      <c r="A19" s="185">
        <v>16</v>
      </c>
      <c r="B19" s="183" t="s">
        <v>29</v>
      </c>
      <c r="C19" s="183" t="s">
        <v>6</v>
      </c>
      <c r="D19" s="184">
        <v>0.58422063008762148</v>
      </c>
      <c r="E19" s="184">
        <v>0.64264269309638367</v>
      </c>
      <c r="F19" s="184">
        <v>0.67477482775120279</v>
      </c>
      <c r="G19" s="184">
        <v>0.70851356913876296</v>
      </c>
      <c r="H19" s="184">
        <v>0.74393924759570107</v>
      </c>
      <c r="I19" s="184">
        <v>0.78113620997548605</v>
      </c>
      <c r="J19" s="184">
        <v>0.82019302047426024</v>
      </c>
      <c r="K19" s="184">
        <v>0.86120267149797314</v>
      </c>
      <c r="L19" s="16"/>
      <c r="M19" s="2"/>
      <c r="N19" s="15"/>
      <c r="O19" s="15"/>
      <c r="P19" s="15"/>
      <c r="Q19" s="15"/>
      <c r="R19" s="15"/>
      <c r="S19" s="15"/>
      <c r="T19" s="15"/>
      <c r="U19" s="15"/>
      <c r="V19" s="15"/>
      <c r="W19" s="6"/>
      <c r="X19" s="2"/>
    </row>
    <row r="20" spans="1:24" s="3" customFormat="1" ht="30" customHeight="1">
      <c r="A20" s="185">
        <v>17</v>
      </c>
      <c r="B20" s="183" t="s">
        <v>30</v>
      </c>
      <c r="C20" s="183" t="s">
        <v>6</v>
      </c>
      <c r="D20" s="184">
        <v>1.2243089551402619</v>
      </c>
      <c r="E20" s="184">
        <v>1.346739850654288</v>
      </c>
      <c r="F20" s="184">
        <v>1.4140768431870023</v>
      </c>
      <c r="G20" s="184">
        <v>1.4847806853463525</v>
      </c>
      <c r="H20" s="184">
        <v>1.5590197196136701</v>
      </c>
      <c r="I20" s="184">
        <v>1.6369707055943536</v>
      </c>
      <c r="J20" s="184">
        <v>1.7188192408740715</v>
      </c>
      <c r="K20" s="184">
        <v>1.8047602029177752</v>
      </c>
      <c r="L20" s="16"/>
      <c r="M20" s="2"/>
      <c r="N20" s="15"/>
      <c r="O20" s="15"/>
      <c r="P20" s="15"/>
      <c r="Q20" s="15"/>
      <c r="R20" s="15"/>
      <c r="S20" s="15"/>
      <c r="T20" s="15"/>
      <c r="U20" s="15"/>
      <c r="V20" s="15"/>
      <c r="W20" s="6"/>
      <c r="X20" s="2"/>
    </row>
    <row r="21" spans="1:24" s="3" customFormat="1" ht="30" customHeight="1">
      <c r="A21" s="185">
        <v>18</v>
      </c>
      <c r="B21" s="183" t="s">
        <v>31</v>
      </c>
      <c r="C21" s="183" t="s">
        <v>6</v>
      </c>
      <c r="D21" s="184">
        <v>1.4857121341074324</v>
      </c>
      <c r="E21" s="184">
        <v>1.6342833475181755</v>
      </c>
      <c r="F21" s="184">
        <v>1.7159975148940843</v>
      </c>
      <c r="G21" s="184">
        <v>1.8017973906387885</v>
      </c>
      <c r="H21" s="184">
        <v>1.8918872601707277</v>
      </c>
      <c r="I21" s="184">
        <v>1.9864816231792641</v>
      </c>
      <c r="J21" s="184">
        <v>2.0858057043382274</v>
      </c>
      <c r="K21" s="184">
        <v>2.1900959895551391</v>
      </c>
      <c r="L21" s="16"/>
      <c r="M21" s="2"/>
      <c r="N21" s="15"/>
      <c r="O21" s="15"/>
      <c r="P21" s="15"/>
      <c r="Q21" s="15"/>
      <c r="R21" s="15"/>
      <c r="S21" s="15"/>
      <c r="T21" s="15"/>
      <c r="U21" s="15"/>
      <c r="V21" s="15"/>
      <c r="W21" s="6"/>
      <c r="X21" s="2"/>
    </row>
    <row r="22" spans="1:24" s="3" customFormat="1" ht="30" customHeight="1">
      <c r="A22" s="185">
        <v>19</v>
      </c>
      <c r="B22" s="183" t="s">
        <v>32</v>
      </c>
      <c r="C22" s="183" t="s">
        <v>6</v>
      </c>
      <c r="D22" s="184">
        <v>0.82567822262123924</v>
      </c>
      <c r="E22" s="184">
        <v>0.90824604488336314</v>
      </c>
      <c r="F22" s="184">
        <v>0.95365834712753128</v>
      </c>
      <c r="G22" s="184">
        <v>1.0013412644839077</v>
      </c>
      <c r="H22" s="184">
        <v>1.0514083277081032</v>
      </c>
      <c r="I22" s="184">
        <v>1.1039787440935083</v>
      </c>
      <c r="J22" s="184">
        <v>1.1591776812981835</v>
      </c>
      <c r="K22" s="184">
        <v>1.2171365653630926</v>
      </c>
      <c r="L22" s="16"/>
      <c r="M22" s="2"/>
      <c r="N22" s="15"/>
      <c r="O22" s="15"/>
      <c r="P22" s="15"/>
      <c r="Q22" s="15"/>
      <c r="R22" s="15"/>
      <c r="S22" s="15"/>
      <c r="T22" s="15"/>
      <c r="U22" s="15"/>
      <c r="V22" s="15"/>
      <c r="W22" s="6"/>
      <c r="X22" s="2"/>
    </row>
    <row r="23" spans="1:24" s="3" customFormat="1" ht="30" customHeight="1">
      <c r="A23" s="185">
        <v>20</v>
      </c>
      <c r="B23" s="183" t="s">
        <v>33</v>
      </c>
      <c r="C23" s="183" t="s">
        <v>6</v>
      </c>
      <c r="D23" s="184">
        <v>0.60312153712403449</v>
      </c>
      <c r="E23" s="184">
        <v>0.66343369083643799</v>
      </c>
      <c r="F23" s="184">
        <v>0.69660537537825984</v>
      </c>
      <c r="G23" s="184">
        <v>0.73143564414717277</v>
      </c>
      <c r="H23" s="184">
        <v>0.76800742635453134</v>
      </c>
      <c r="I23" s="184">
        <v>0.8064077976722579</v>
      </c>
      <c r="J23" s="184">
        <v>0.84672818755587087</v>
      </c>
      <c r="K23" s="184">
        <v>0.88906459693366446</v>
      </c>
      <c r="L23" s="16"/>
      <c r="M23" s="2"/>
      <c r="N23" s="15"/>
      <c r="O23" s="15"/>
      <c r="P23" s="15"/>
      <c r="Q23" s="15"/>
      <c r="R23" s="15"/>
      <c r="S23" s="15"/>
      <c r="T23" s="15"/>
      <c r="U23" s="15"/>
      <c r="V23" s="15"/>
      <c r="W23" s="6"/>
      <c r="X23" s="2"/>
    </row>
    <row r="24" spans="1:24" s="3" customFormat="1" ht="30" customHeight="1">
      <c r="A24" s="185">
        <v>21</v>
      </c>
      <c r="B24" s="183" t="s">
        <v>34</v>
      </c>
      <c r="C24" s="183" t="s">
        <v>6</v>
      </c>
      <c r="D24" s="184">
        <v>0.50110191744957056</v>
      </c>
      <c r="E24" s="184">
        <v>0.55121210919452757</v>
      </c>
      <c r="F24" s="184">
        <v>0.57877271465425395</v>
      </c>
      <c r="G24" s="184">
        <v>0.60771135038696666</v>
      </c>
      <c r="H24" s="184">
        <v>0.63809691790631495</v>
      </c>
      <c r="I24" s="184">
        <v>0.67000176380163068</v>
      </c>
      <c r="J24" s="184">
        <v>0.70350185199171222</v>
      </c>
      <c r="K24" s="184">
        <v>0.73867694459129785</v>
      </c>
      <c r="L24" s="16"/>
      <c r="M24" s="2"/>
      <c r="N24" s="15"/>
      <c r="O24" s="15"/>
      <c r="P24" s="15"/>
      <c r="Q24" s="15"/>
      <c r="R24" s="15"/>
      <c r="S24" s="15"/>
      <c r="T24" s="15"/>
      <c r="U24" s="15"/>
      <c r="V24" s="15"/>
      <c r="W24" s="6"/>
      <c r="X24" s="2"/>
    </row>
    <row r="25" spans="1:24" s="3" customFormat="1" ht="30" customHeight="1">
      <c r="A25" s="185">
        <v>22</v>
      </c>
      <c r="B25" s="183" t="s">
        <v>35</v>
      </c>
      <c r="C25" s="183" t="s">
        <v>6</v>
      </c>
      <c r="D25" s="184">
        <v>0.72777697455562107</v>
      </c>
      <c r="E25" s="184">
        <v>0.80055467201118324</v>
      </c>
      <c r="F25" s="184">
        <v>0.84058240561174236</v>
      </c>
      <c r="G25" s="184">
        <v>0.88261152589232938</v>
      </c>
      <c r="H25" s="184">
        <v>0.92674210218694586</v>
      </c>
      <c r="I25" s="184">
        <v>0.97307920729629316</v>
      </c>
      <c r="J25" s="184">
        <v>1.0217331676611079</v>
      </c>
      <c r="K25" s="184">
        <v>1.0728198260441633</v>
      </c>
      <c r="L25" s="17"/>
      <c r="M25" s="2"/>
      <c r="N25" s="15"/>
      <c r="O25" s="15"/>
      <c r="P25" s="15"/>
      <c r="Q25" s="15"/>
      <c r="R25" s="15"/>
      <c r="S25" s="15"/>
      <c r="T25" s="15"/>
      <c r="U25" s="15"/>
      <c r="V25" s="15"/>
      <c r="W25" s="6"/>
      <c r="X25" s="2"/>
    </row>
    <row r="26" spans="1:24" s="3" customFormat="1" ht="30" customHeight="1">
      <c r="A26" s="185">
        <v>23</v>
      </c>
      <c r="B26" s="183" t="s">
        <v>36</v>
      </c>
      <c r="C26" s="183" t="s">
        <v>6</v>
      </c>
      <c r="D26" s="184">
        <v>0.8413848124209049</v>
      </c>
      <c r="E26" s="184">
        <v>0.92552329366299546</v>
      </c>
      <c r="F26" s="184">
        <v>0.97179945834614512</v>
      </c>
      <c r="G26" s="184">
        <v>1.0203894312634523</v>
      </c>
      <c r="H26" s="184">
        <v>1.0714089028266249</v>
      </c>
      <c r="I26" s="184">
        <v>1.1249793479679562</v>
      </c>
      <c r="J26" s="184">
        <v>1.1812283153663541</v>
      </c>
      <c r="K26" s="184">
        <v>1.2402897311346719</v>
      </c>
      <c r="L26" s="15"/>
      <c r="M26" s="2"/>
      <c r="N26" s="15"/>
      <c r="O26" s="15"/>
      <c r="P26" s="15"/>
      <c r="Q26" s="15"/>
      <c r="R26" s="15"/>
      <c r="S26" s="15"/>
      <c r="T26" s="15"/>
      <c r="U26" s="15"/>
      <c r="V26" s="15"/>
      <c r="W26" s="6"/>
      <c r="X26" s="2"/>
    </row>
    <row r="27" spans="1:24" s="3" customFormat="1" ht="30" customHeight="1">
      <c r="A27" s="185">
        <v>24</v>
      </c>
      <c r="B27" s="183" t="s">
        <v>37</v>
      </c>
      <c r="C27" s="183" t="s">
        <v>6</v>
      </c>
      <c r="D27" s="184">
        <v>0.28771259137135713</v>
      </c>
      <c r="E27" s="184">
        <v>0.31648385050849287</v>
      </c>
      <c r="F27" s="184">
        <v>0.33230804303391748</v>
      </c>
      <c r="G27" s="184">
        <v>0.34892344518561336</v>
      </c>
      <c r="H27" s="184">
        <v>0.36636961744489399</v>
      </c>
      <c r="I27" s="184">
        <v>0.38468809831713868</v>
      </c>
      <c r="J27" s="184">
        <v>0.40392250323299561</v>
      </c>
      <c r="K27" s="184">
        <v>0.42411862839464542</v>
      </c>
      <c r="L27" s="16"/>
      <c r="M27" s="2"/>
      <c r="N27" s="15"/>
      <c r="O27" s="15"/>
      <c r="P27" s="15"/>
      <c r="Q27" s="15"/>
      <c r="R27" s="15"/>
      <c r="S27" s="15"/>
      <c r="T27" s="15"/>
      <c r="U27" s="15"/>
      <c r="V27" s="15"/>
      <c r="W27" s="6"/>
      <c r="X27" s="2"/>
    </row>
    <row r="28" spans="1:24" s="3" customFormat="1" ht="30" customHeight="1">
      <c r="A28" s="185">
        <v>25</v>
      </c>
      <c r="B28" s="183" t="s">
        <v>38</v>
      </c>
      <c r="C28" s="183" t="s">
        <v>6</v>
      </c>
      <c r="D28" s="184">
        <v>1.2812641592360701</v>
      </c>
      <c r="E28" s="184">
        <v>1.4093905751596769</v>
      </c>
      <c r="F28" s="184">
        <v>1.4798601039176607</v>
      </c>
      <c r="G28" s="184">
        <v>1.5538531091135437</v>
      </c>
      <c r="H28" s="184">
        <v>1.6315457645692208</v>
      </c>
      <c r="I28" s="184">
        <v>1.713123052797682</v>
      </c>
      <c r="J28" s="184">
        <v>1.7987792054375662</v>
      </c>
      <c r="K28" s="184">
        <v>1.8887181657094445</v>
      </c>
      <c r="L28" s="16"/>
      <c r="M28" s="2"/>
      <c r="N28" s="15"/>
      <c r="O28" s="15"/>
      <c r="P28" s="15"/>
      <c r="Q28" s="15"/>
      <c r="R28" s="15"/>
      <c r="S28" s="15"/>
      <c r="T28" s="15"/>
      <c r="U28" s="15"/>
      <c r="V28" s="15"/>
      <c r="W28" s="6"/>
      <c r="X28" s="2"/>
    </row>
    <row r="29" spans="1:24" s="3" customFormat="1" ht="30" customHeight="1">
      <c r="A29" s="185">
        <v>26</v>
      </c>
      <c r="B29" s="183" t="s">
        <v>39</v>
      </c>
      <c r="C29" s="183" t="s">
        <v>6</v>
      </c>
      <c r="D29" s="184">
        <v>0.96626078718655695</v>
      </c>
      <c r="E29" s="184">
        <v>1.0628868659052126</v>
      </c>
      <c r="F29" s="184">
        <v>1.1160312092004732</v>
      </c>
      <c r="G29" s="184">
        <v>1.1718327696604969</v>
      </c>
      <c r="H29" s="184">
        <v>1.2304244081435216</v>
      </c>
      <c r="I29" s="184">
        <v>1.2919456285506976</v>
      </c>
      <c r="J29" s="184">
        <v>1.3565429099782325</v>
      </c>
      <c r="K29" s="184">
        <v>1.4243700554771441</v>
      </c>
      <c r="L29" s="16"/>
      <c r="M29" s="2"/>
      <c r="N29" s="15"/>
      <c r="O29" s="15"/>
      <c r="P29" s="15"/>
      <c r="Q29" s="15"/>
      <c r="R29" s="15"/>
      <c r="S29" s="15"/>
      <c r="T29" s="15"/>
      <c r="U29" s="15"/>
      <c r="V29" s="15"/>
      <c r="W29" s="6"/>
      <c r="X29" s="2"/>
    </row>
    <row r="30" spans="1:24" s="3" customFormat="1" ht="30" customHeight="1">
      <c r="A30" s="185">
        <v>27</v>
      </c>
      <c r="B30" s="183" t="s">
        <v>40</v>
      </c>
      <c r="C30" s="183" t="s">
        <v>6</v>
      </c>
      <c r="D30" s="184">
        <v>0.51005890807232834</v>
      </c>
      <c r="E30" s="184">
        <v>0.56106479887956118</v>
      </c>
      <c r="F30" s="184">
        <v>0.58911803882353919</v>
      </c>
      <c r="G30" s="184">
        <v>0.61857394076471617</v>
      </c>
      <c r="H30" s="184">
        <v>0.64950263780295192</v>
      </c>
      <c r="I30" s="184">
        <v>0.68197776969309953</v>
      </c>
      <c r="J30" s="184">
        <v>0.71607665817775457</v>
      </c>
      <c r="K30" s="184">
        <v>0.75188049108664234</v>
      </c>
      <c r="L30" s="15"/>
      <c r="M30" s="2"/>
      <c r="N30" s="15"/>
      <c r="O30" s="15"/>
      <c r="P30" s="15"/>
      <c r="Q30" s="15"/>
      <c r="R30" s="15"/>
      <c r="S30" s="15"/>
      <c r="T30" s="15"/>
      <c r="U30" s="15"/>
      <c r="V30" s="15"/>
      <c r="W30" s="6"/>
      <c r="X30" s="2"/>
    </row>
    <row r="31" spans="1:24" s="3" customFormat="1" ht="30" customHeight="1">
      <c r="A31" s="185">
        <v>28</v>
      </c>
      <c r="B31" s="183" t="s">
        <v>41</v>
      </c>
      <c r="C31" s="183" t="s">
        <v>6</v>
      </c>
      <c r="D31" s="184">
        <v>1.8388945956338969</v>
      </c>
      <c r="E31" s="184">
        <v>2.0227840551972869</v>
      </c>
      <c r="F31" s="184">
        <v>2.1239232579571508</v>
      </c>
      <c r="G31" s="184">
        <v>2.2301194208550084</v>
      </c>
      <c r="H31" s="184">
        <v>2.3416253918977588</v>
      </c>
      <c r="I31" s="184">
        <v>2.4587066614926467</v>
      </c>
      <c r="J31" s="184">
        <v>2.5816419945672791</v>
      </c>
      <c r="K31" s="184">
        <v>2.7107240942956432</v>
      </c>
      <c r="L31" s="18"/>
      <c r="M31" s="2"/>
      <c r="N31" s="15"/>
      <c r="O31" s="15"/>
      <c r="P31" s="15"/>
      <c r="Q31" s="15"/>
      <c r="R31" s="15"/>
      <c r="S31" s="15"/>
      <c r="T31" s="15"/>
      <c r="U31" s="15"/>
      <c r="V31" s="15"/>
      <c r="W31" s="6"/>
      <c r="X31" s="2"/>
    </row>
    <row r="32" spans="1:24" s="3" customFormat="1" ht="30" customHeight="1">
      <c r="A32" s="185">
        <v>29</v>
      </c>
      <c r="B32" s="183" t="s">
        <v>42</v>
      </c>
      <c r="C32" s="183" t="s">
        <v>6</v>
      </c>
      <c r="D32" s="184">
        <v>0.67759515381534019</v>
      </c>
      <c r="E32" s="184">
        <v>0.74535466919687421</v>
      </c>
      <c r="F32" s="184">
        <v>0.7826224026567179</v>
      </c>
      <c r="G32" s="184">
        <v>0.82175352278955383</v>
      </c>
      <c r="H32" s="184">
        <v>0.86284119892903144</v>
      </c>
      <c r="I32" s="184">
        <v>0.90598325887548303</v>
      </c>
      <c r="J32" s="184">
        <v>0.95128242181925726</v>
      </c>
      <c r="K32" s="184">
        <v>0.99884654291022013</v>
      </c>
      <c r="L32" s="15"/>
      <c r="M32" s="2"/>
      <c r="N32" s="15"/>
      <c r="O32" s="15"/>
      <c r="P32" s="15"/>
      <c r="Q32" s="15"/>
      <c r="R32" s="15"/>
      <c r="S32" s="15"/>
      <c r="T32" s="15"/>
      <c r="U32" s="15"/>
      <c r="V32" s="15"/>
      <c r="W32" s="6"/>
      <c r="X32" s="2"/>
    </row>
    <row r="33" spans="1:24" s="3" customFormat="1" ht="30" customHeight="1">
      <c r="A33" s="185">
        <v>30</v>
      </c>
      <c r="B33" s="183" t="s">
        <v>43</v>
      </c>
      <c r="C33" s="183" t="s">
        <v>6</v>
      </c>
      <c r="D33" s="184">
        <v>1.4111354511908789</v>
      </c>
      <c r="E33" s="184">
        <v>1.5522489963099668</v>
      </c>
      <c r="F33" s="184">
        <v>1.629861446125465</v>
      </c>
      <c r="G33" s="184">
        <v>1.7113545184317382</v>
      </c>
      <c r="H33" s="184">
        <v>1.796922244353325</v>
      </c>
      <c r="I33" s="184">
        <v>1.8867683565709914</v>
      </c>
      <c r="J33" s="184">
        <v>1.981106774399541</v>
      </c>
      <c r="K33" s="184">
        <v>2.0801621131195183</v>
      </c>
      <c r="L33" s="16"/>
      <c r="M33" s="2"/>
      <c r="N33" s="15"/>
      <c r="O33" s="15"/>
      <c r="P33" s="15"/>
      <c r="Q33" s="15"/>
      <c r="R33" s="15"/>
      <c r="S33" s="15"/>
      <c r="T33" s="15"/>
      <c r="U33" s="15"/>
      <c r="V33" s="15"/>
      <c r="W33" s="6"/>
      <c r="X33" s="2"/>
    </row>
    <row r="34" spans="1:24" s="3" customFormat="1" ht="30" customHeight="1">
      <c r="A34" s="185">
        <v>31</v>
      </c>
      <c r="B34" s="183" t="s">
        <v>44</v>
      </c>
      <c r="C34" s="183" t="s">
        <v>6</v>
      </c>
      <c r="D34" s="184">
        <v>0.65555258712202258</v>
      </c>
      <c r="E34" s="184">
        <v>0.72110784583422483</v>
      </c>
      <c r="F34" s="184">
        <v>0.757163238125936</v>
      </c>
      <c r="G34" s="184">
        <v>0.79502140003223276</v>
      </c>
      <c r="H34" s="184">
        <v>0.83477247003384436</v>
      </c>
      <c r="I34" s="184">
        <v>0.87651109353553658</v>
      </c>
      <c r="J34" s="184">
        <v>0.92033664821231342</v>
      </c>
      <c r="K34" s="184">
        <v>0.96635348062292914</v>
      </c>
      <c r="L34" s="16"/>
      <c r="M34" s="2"/>
      <c r="N34" s="15"/>
      <c r="O34" s="15"/>
      <c r="P34" s="15"/>
      <c r="Q34" s="15"/>
      <c r="R34" s="15"/>
      <c r="S34" s="15"/>
      <c r="T34" s="15"/>
      <c r="U34" s="15"/>
      <c r="V34" s="15"/>
      <c r="W34" s="6"/>
      <c r="X34" s="2"/>
    </row>
    <row r="35" spans="1:24" s="3" customFormat="1" ht="30" customHeight="1">
      <c r="A35" s="185">
        <v>32</v>
      </c>
      <c r="B35" s="183" t="s">
        <v>45</v>
      </c>
      <c r="C35" s="183" t="s">
        <v>6</v>
      </c>
      <c r="D35" s="184">
        <v>0.51059665762492401</v>
      </c>
      <c r="E35" s="184">
        <v>0.56165632338741645</v>
      </c>
      <c r="F35" s="184">
        <v>0.58973913955678725</v>
      </c>
      <c r="G35" s="184">
        <v>0.61922609653462657</v>
      </c>
      <c r="H35" s="184">
        <v>0.65018740136135789</v>
      </c>
      <c r="I35" s="184">
        <v>0.68269677142942575</v>
      </c>
      <c r="J35" s="184">
        <v>0.71683161000089712</v>
      </c>
      <c r="K35" s="184">
        <v>0.75267319050094206</v>
      </c>
      <c r="L35" s="16"/>
      <c r="M35" s="2"/>
      <c r="N35" s="15"/>
      <c r="O35" s="15"/>
      <c r="P35" s="15"/>
      <c r="Q35" s="15"/>
      <c r="R35" s="15"/>
      <c r="S35" s="15"/>
      <c r="T35" s="15"/>
      <c r="U35" s="15"/>
      <c r="V35" s="15"/>
      <c r="W35" s="6"/>
      <c r="X35" s="2"/>
    </row>
    <row r="36" spans="1:24" s="3" customFormat="1" ht="30" customHeight="1">
      <c r="A36" s="360" t="s">
        <v>46</v>
      </c>
      <c r="B36" s="360"/>
      <c r="C36" s="183" t="s">
        <v>47</v>
      </c>
      <c r="D36" s="184">
        <f>SUM(D4:D35)</f>
        <v>30.653115202229344</v>
      </c>
      <c r="E36" s="184">
        <f t="shared" ref="E36:I36" si="0">SUM(E4:E35)</f>
        <v>33.718426722452278</v>
      </c>
      <c r="F36" s="184">
        <f t="shared" si="0"/>
        <v>35.404348058574882</v>
      </c>
      <c r="G36" s="184">
        <f t="shared" si="0"/>
        <v>37.17456546150364</v>
      </c>
      <c r="H36" s="184">
        <f t="shared" si="0"/>
        <v>39.033293734578812</v>
      </c>
      <c r="I36" s="184">
        <f t="shared" si="0"/>
        <v>40.984958421307752</v>
      </c>
      <c r="J36" s="184">
        <v>43.034206342373139</v>
      </c>
      <c r="K36" s="184">
        <v>45.185916659491802</v>
      </c>
      <c r="L36" s="16"/>
      <c r="M36" s="2"/>
      <c r="N36" s="15"/>
      <c r="O36" s="15"/>
      <c r="P36" s="15"/>
      <c r="Q36" s="15"/>
      <c r="R36" s="15"/>
      <c r="S36" s="15"/>
      <c r="T36" s="15"/>
      <c r="U36" s="15"/>
      <c r="V36" s="15"/>
      <c r="W36" s="6"/>
      <c r="X36" s="2"/>
    </row>
    <row r="37" spans="1:24" ht="30" customHeight="1">
      <c r="A37" s="357"/>
      <c r="B37" s="358"/>
      <c r="C37" s="358"/>
      <c r="D37" s="358"/>
      <c r="E37" s="358"/>
      <c r="F37" s="358"/>
      <c r="G37" s="358"/>
      <c r="H37" s="358"/>
      <c r="I37" s="358"/>
      <c r="J37" s="358"/>
      <c r="K37" s="359"/>
    </row>
    <row r="38" spans="1:24" s="22" customFormat="1" hidden="1"/>
    <row r="39" spans="1:24">
      <c r="D39" s="23"/>
      <c r="E39" s="23"/>
      <c r="F39" s="23"/>
      <c r="G39" s="23"/>
      <c r="H39" s="23"/>
      <c r="I39" s="23"/>
      <c r="J39" s="23"/>
      <c r="K39" s="23"/>
    </row>
    <row r="40" spans="1:24">
      <c r="B40" s="23"/>
      <c r="C40" s="23"/>
      <c r="D40" s="23"/>
      <c r="E40" s="23"/>
      <c r="F40" s="23"/>
      <c r="G40" s="23"/>
      <c r="H40" s="23"/>
      <c r="I40" s="23"/>
      <c r="J40" s="23"/>
      <c r="K40" s="23"/>
    </row>
  </sheetData>
  <mergeCells count="8">
    <mergeCell ref="A1:K1"/>
    <mergeCell ref="E2:K2"/>
    <mergeCell ref="A37:K37"/>
    <mergeCell ref="A36:B36"/>
    <mergeCell ref="A2:A3"/>
    <mergeCell ref="B2:B3"/>
    <mergeCell ref="C2:C3"/>
    <mergeCell ref="D2:D3"/>
  </mergeCells>
  <pageMargins left="0.7" right="0.7" top="0.75" bottom="0.75" header="0.3" footer="0.3"/>
  <pageSetup paperSize="9" scale="68" orientation="portrait" r:id="rId1"/>
  <rowBreaks count="1" manualBreakCount="1">
    <brk id="27" max="13" man="1"/>
  </rowBreaks>
  <ignoredErrors>
    <ignoredError sqref="E36:I36" formulaRange="1"/>
  </ignoredError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rightToLeft="1" workbookViewId="0">
      <selection sqref="A1:C1"/>
    </sheetView>
  </sheetViews>
  <sheetFormatPr defaultRowHeight="27"/>
  <cols>
    <col min="1" max="1" width="18.33203125" style="60" customWidth="1"/>
    <col min="2" max="2" width="126.6640625" style="60" customWidth="1"/>
    <col min="3" max="3" width="18.33203125" style="60" customWidth="1"/>
    <col min="4" max="16384" width="9.33203125" style="60"/>
  </cols>
  <sheetData>
    <row r="1" spans="1:3" ht="59.25" customHeight="1">
      <c r="A1" s="387" t="s">
        <v>618</v>
      </c>
      <c r="B1" s="387"/>
      <c r="C1" s="387"/>
    </row>
    <row r="2" spans="1:3" s="62" customFormat="1" ht="30" customHeight="1">
      <c r="A2" s="388"/>
      <c r="B2" s="61" t="str">
        <f>'[25]سیاست ها و برنامه ها '!$A$1</f>
        <v xml:space="preserve"> اهداف کلی 2:    ارتقاء بهداشت و تضمين كيفيت فراورده های خام دامی، خوراک دام، دارو و فراورده هاي بيولوژيك </v>
      </c>
      <c r="C2" s="389"/>
    </row>
    <row r="3" spans="1:3" s="62" customFormat="1" ht="30" customHeight="1">
      <c r="A3" s="388"/>
      <c r="B3" s="63" t="str">
        <f>'[25]سیاست ها و برنامه ها '!A2</f>
        <v>راهبرد 8-2: توسعه آزمایشگاه های کنترل کیفی فراورده های خام دامی و خوراک دام، دارو و فراورده هاي بيولوژيك</v>
      </c>
      <c r="C3" s="389"/>
    </row>
    <row r="4" spans="1:3" s="62" customFormat="1" ht="74.25" customHeight="1">
      <c r="A4" s="388"/>
      <c r="B4" s="64" t="str">
        <f>CONCATENATE([25]روکش!A1," ",[25]روکش!B1)</f>
        <v xml:space="preserve"> عنوان هدف کمی: توسعه آزمایشگاه های مرجع منطقه ای کنترل کیفی فراورده های دامی، خوراک دام در پنج منطقه تا پایان برنامه /توسعه كمي و كيفي آزمون های تشخيصی و كنترل كيفي دامپزشكي 25 درصد نسبت به سال پایه تا پایان برنامه /اعتبار بخشی آزمون های تشخيصی و كنترل كيفي فراورده های دامی، خوراک دام، دارو و فراورده هاي بيولوژيك پایان برنامه</v>
      </c>
      <c r="C4" s="389"/>
    </row>
    <row r="5" spans="1:3" s="62" customFormat="1" ht="27.95" customHeight="1">
      <c r="A5" s="388"/>
      <c r="B5" s="64" t="str">
        <f>CONCATENATE([25]روکش!A2,"  ",[25]روکش!B2,"     ",[25]روکش!C2,"  ",[25]روکش!D2)</f>
        <v>عنوان سنجه عملکرد:  هزار مورد آزمایش     شاخص سنجه:  640</v>
      </c>
      <c r="C5" s="389"/>
    </row>
    <row r="6" spans="1:3" s="62" customFormat="1" ht="27.95" customHeight="1">
      <c r="A6" s="388"/>
      <c r="B6" s="64" t="s">
        <v>559</v>
      </c>
      <c r="C6" s="389"/>
    </row>
    <row r="7" spans="1:3" s="62" customFormat="1" ht="27.95" customHeight="1">
      <c r="A7" s="388"/>
      <c r="B7" s="64" t="s">
        <v>359</v>
      </c>
      <c r="C7" s="389"/>
    </row>
    <row r="8" spans="1:3" ht="27.95" customHeight="1">
      <c r="A8" s="388"/>
      <c r="B8" s="65" t="s">
        <v>588</v>
      </c>
      <c r="C8" s="389"/>
    </row>
    <row r="9" spans="1:3" s="66" customFormat="1" ht="27.95" customHeight="1">
      <c r="A9" s="388"/>
      <c r="B9" s="63" t="s">
        <v>362</v>
      </c>
      <c r="C9" s="389"/>
    </row>
    <row r="10" spans="1:3" s="68" customFormat="1" ht="27.95" customHeight="1">
      <c r="A10" s="388"/>
      <c r="B10" s="67" t="s">
        <v>363</v>
      </c>
      <c r="C10" s="389"/>
    </row>
    <row r="11" spans="1:3" s="68" customFormat="1" ht="27.95" customHeight="1">
      <c r="A11" s="388"/>
      <c r="B11" s="67" t="s">
        <v>364</v>
      </c>
      <c r="C11" s="389"/>
    </row>
    <row r="12" spans="1:3" s="68" customFormat="1" ht="27.95" customHeight="1">
      <c r="A12" s="388"/>
      <c r="B12" s="67" t="s">
        <v>589</v>
      </c>
      <c r="C12" s="389"/>
    </row>
    <row r="13" spans="1:3" s="68" customFormat="1" ht="27.95" customHeight="1">
      <c r="A13" s="388"/>
      <c r="B13" s="67" t="s">
        <v>590</v>
      </c>
      <c r="C13" s="389"/>
    </row>
    <row r="14" spans="1:3" s="68" customFormat="1" ht="27.95" customHeight="1">
      <c r="A14" s="388"/>
      <c r="B14" s="144" t="s">
        <v>371</v>
      </c>
      <c r="C14" s="389"/>
    </row>
    <row r="15" spans="1:3" ht="60.75" customHeight="1">
      <c r="A15" s="390"/>
      <c r="B15" s="390"/>
      <c r="C15" s="390"/>
    </row>
    <row r="16" spans="1:3" ht="22.5" customHeight="1"/>
    <row r="17" ht="22.5" customHeight="1"/>
  </sheetData>
  <dataConsolidate/>
  <mergeCells count="4">
    <mergeCell ref="A1:C1"/>
    <mergeCell ref="A2:A14"/>
    <mergeCell ref="C2:C14"/>
    <mergeCell ref="A15:C15"/>
  </mergeCells>
  <pageMargins left="0.7" right="0.7" top="0.75" bottom="0.75" header="0.3" footer="0.3"/>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rightToLeft="1" workbookViewId="0">
      <pane xSplit="8" topLeftCell="I1" activePane="topRight" state="frozen"/>
      <selection pane="topRight" sqref="A1:H1"/>
    </sheetView>
  </sheetViews>
  <sheetFormatPr defaultColWidth="25" defaultRowHeight="54.95" customHeight="1"/>
  <cols>
    <col min="1" max="1" width="11.83203125" style="147" customWidth="1"/>
    <col min="2" max="2" width="10.1640625" style="147" hidden="1" customWidth="1"/>
    <col min="3" max="3" width="12.83203125" style="147" customWidth="1"/>
    <col min="4" max="4" width="49.83203125" style="147" customWidth="1"/>
    <col min="5" max="6" width="26.5" style="147" customWidth="1"/>
    <col min="7" max="7" width="23.6640625" style="147" customWidth="1"/>
    <col min="8" max="8" width="12.5" style="147" customWidth="1"/>
    <col min="9" max="16384" width="25" style="147"/>
  </cols>
  <sheetData>
    <row r="1" spans="1:8" s="163" customFormat="1" ht="24.95" customHeight="1">
      <c r="A1" s="405" t="s">
        <v>994</v>
      </c>
      <c r="B1" s="405"/>
      <c r="C1" s="405"/>
      <c r="D1" s="405"/>
      <c r="E1" s="405"/>
      <c r="F1" s="405"/>
      <c r="G1" s="405"/>
      <c r="H1" s="405"/>
    </row>
    <row r="2" spans="1:8" s="163" customFormat="1" ht="24.95" customHeight="1">
      <c r="A2" s="405" t="s">
        <v>995</v>
      </c>
      <c r="B2" s="405"/>
      <c r="C2" s="405"/>
      <c r="D2" s="405"/>
      <c r="E2" s="405"/>
      <c r="F2" s="405"/>
      <c r="G2" s="405"/>
      <c r="H2" s="405"/>
    </row>
    <row r="3" spans="1:8" s="163" customFormat="1" ht="74.25" customHeight="1">
      <c r="A3" s="405" t="s">
        <v>996</v>
      </c>
      <c r="B3" s="405"/>
      <c r="C3" s="405"/>
      <c r="D3" s="405"/>
      <c r="E3" s="405"/>
      <c r="F3" s="405"/>
      <c r="G3" s="405"/>
      <c r="H3" s="405"/>
    </row>
    <row r="4" spans="1:8" s="163" customFormat="1" ht="24.95" customHeight="1">
      <c r="A4" s="405" t="s">
        <v>737</v>
      </c>
      <c r="B4" s="405"/>
      <c r="C4" s="405"/>
      <c r="D4" s="405"/>
      <c r="E4" s="405"/>
      <c r="F4" s="405"/>
      <c r="G4" s="405"/>
      <c r="H4" s="405"/>
    </row>
    <row r="5" spans="1:8" ht="24.95" customHeight="1">
      <c r="A5" s="404" t="s">
        <v>997</v>
      </c>
      <c r="B5" s="404"/>
      <c r="C5" s="404"/>
      <c r="D5" s="404"/>
      <c r="E5" s="404"/>
      <c r="F5" s="404"/>
      <c r="G5" s="404"/>
      <c r="H5" s="404"/>
    </row>
    <row r="6" spans="1:8" ht="24.95" customHeight="1">
      <c r="A6" s="404" t="s">
        <v>998</v>
      </c>
      <c r="B6" s="404"/>
      <c r="C6" s="404"/>
      <c r="D6" s="404"/>
      <c r="E6" s="404"/>
      <c r="F6" s="404"/>
      <c r="G6" s="404"/>
      <c r="H6" s="404"/>
    </row>
    <row r="7" spans="1:8" ht="24.95" customHeight="1">
      <c r="A7" s="404" t="s">
        <v>999</v>
      </c>
      <c r="B7" s="404"/>
      <c r="C7" s="404"/>
      <c r="D7" s="404"/>
      <c r="E7" s="404"/>
      <c r="F7" s="404"/>
      <c r="G7" s="404"/>
      <c r="H7" s="404"/>
    </row>
    <row r="8" spans="1:8" ht="24.95" customHeight="1">
      <c r="A8" s="404" t="s">
        <v>1000</v>
      </c>
      <c r="B8" s="404"/>
      <c r="C8" s="404"/>
      <c r="D8" s="404"/>
      <c r="E8" s="404"/>
      <c r="F8" s="404"/>
      <c r="G8" s="404"/>
      <c r="H8" s="404"/>
    </row>
    <row r="9" spans="1:8" ht="24.95" customHeight="1">
      <c r="A9" s="404" t="s">
        <v>1001</v>
      </c>
      <c r="B9" s="404"/>
      <c r="C9" s="404"/>
      <c r="D9" s="404"/>
      <c r="E9" s="404"/>
      <c r="F9" s="404"/>
      <c r="G9" s="404"/>
      <c r="H9" s="404"/>
    </row>
    <row r="10" spans="1:8" ht="24.95" customHeight="1">
      <c r="A10" s="404" t="s">
        <v>1002</v>
      </c>
      <c r="B10" s="404"/>
      <c r="C10" s="404"/>
      <c r="D10" s="404"/>
      <c r="E10" s="404"/>
      <c r="F10" s="404"/>
      <c r="G10" s="404"/>
      <c r="H10" s="404"/>
    </row>
    <row r="11" spans="1:8" ht="38.25" customHeight="1">
      <c r="A11" s="404" t="s">
        <v>1003</v>
      </c>
      <c r="B11" s="404"/>
      <c r="C11" s="404"/>
      <c r="D11" s="404"/>
      <c r="E11" s="404"/>
      <c r="F11" s="404"/>
      <c r="G11" s="404"/>
      <c r="H11" s="404"/>
    </row>
    <row r="12" spans="1:8" ht="35.25" customHeight="1">
      <c r="A12" s="404" t="s">
        <v>1004</v>
      </c>
      <c r="B12" s="404"/>
      <c r="C12" s="404"/>
      <c r="D12" s="404"/>
      <c r="E12" s="404"/>
      <c r="F12" s="404"/>
      <c r="G12" s="404"/>
      <c r="H12" s="404"/>
    </row>
    <row r="13" spans="1:8" ht="24.95" customHeight="1">
      <c r="A13" s="404" t="s">
        <v>1005</v>
      </c>
      <c r="B13" s="404"/>
      <c r="C13" s="404"/>
      <c r="D13" s="404"/>
      <c r="E13" s="404"/>
      <c r="F13" s="404"/>
      <c r="G13" s="404"/>
      <c r="H13" s="404"/>
    </row>
    <row r="14" spans="1:8" ht="24.95" customHeight="1">
      <c r="A14" s="404" t="s">
        <v>1006</v>
      </c>
      <c r="B14" s="404"/>
      <c r="C14" s="404"/>
      <c r="D14" s="404"/>
      <c r="E14" s="404"/>
      <c r="F14" s="404"/>
      <c r="G14" s="404"/>
      <c r="H14" s="404"/>
    </row>
    <row r="15" spans="1:8" ht="24.95" customHeight="1">
      <c r="A15" s="404" t="s">
        <v>1007</v>
      </c>
      <c r="B15" s="404"/>
      <c r="C15" s="404"/>
      <c r="D15" s="404"/>
      <c r="E15" s="404"/>
      <c r="F15" s="404"/>
      <c r="G15" s="404"/>
      <c r="H15" s="404"/>
    </row>
    <row r="16" spans="1:8" ht="24.95" customHeight="1">
      <c r="A16" s="404" t="s">
        <v>1008</v>
      </c>
      <c r="B16" s="404"/>
      <c r="C16" s="404"/>
      <c r="D16" s="404"/>
      <c r="E16" s="404"/>
      <c r="F16" s="404"/>
      <c r="G16" s="404"/>
      <c r="H16" s="404"/>
    </row>
    <row r="17" spans="1:8" ht="24.95" customHeight="1">
      <c r="A17" s="404" t="s">
        <v>1009</v>
      </c>
      <c r="B17" s="404"/>
      <c r="C17" s="404"/>
      <c r="D17" s="404"/>
      <c r="E17" s="404"/>
      <c r="F17" s="404"/>
      <c r="G17" s="404"/>
      <c r="H17" s="404"/>
    </row>
    <row r="18" spans="1:8" ht="24.95" customHeight="1">
      <c r="A18" s="404" t="s">
        <v>1010</v>
      </c>
      <c r="B18" s="404"/>
      <c r="C18" s="404"/>
      <c r="D18" s="404"/>
      <c r="E18" s="404"/>
      <c r="F18" s="404"/>
      <c r="G18" s="404"/>
      <c r="H18" s="404"/>
    </row>
    <row r="19" spans="1:8" ht="24.95" customHeight="1">
      <c r="A19" s="404" t="s">
        <v>1011</v>
      </c>
      <c r="B19" s="404"/>
      <c r="C19" s="404"/>
      <c r="D19" s="404"/>
      <c r="E19" s="404"/>
      <c r="F19" s="404"/>
      <c r="G19" s="404"/>
      <c r="H19" s="404"/>
    </row>
    <row r="20" spans="1:8" ht="24.95" customHeight="1">
      <c r="A20" s="404" t="s">
        <v>1012</v>
      </c>
      <c r="B20" s="404"/>
      <c r="C20" s="404"/>
      <c r="D20" s="404"/>
      <c r="E20" s="404"/>
      <c r="F20" s="404"/>
      <c r="G20" s="404"/>
      <c r="H20" s="404"/>
    </row>
    <row r="21" spans="1:8" ht="24.95" customHeight="1">
      <c r="A21" s="404" t="s">
        <v>1013</v>
      </c>
      <c r="B21" s="404"/>
      <c r="C21" s="404"/>
      <c r="D21" s="404"/>
      <c r="E21" s="404"/>
      <c r="F21" s="404"/>
      <c r="G21" s="404"/>
      <c r="H21" s="404"/>
    </row>
    <row r="22" spans="1:8" ht="24.95" customHeight="1">
      <c r="A22" s="404" t="s">
        <v>1014</v>
      </c>
      <c r="B22" s="404"/>
      <c r="C22" s="404"/>
      <c r="D22" s="404"/>
      <c r="E22" s="404"/>
      <c r="F22" s="404"/>
      <c r="G22" s="404"/>
      <c r="H22" s="404"/>
    </row>
    <row r="23" spans="1:8" ht="24.95" customHeight="1">
      <c r="A23" s="404" t="s">
        <v>1015</v>
      </c>
      <c r="B23" s="404"/>
      <c r="C23" s="404"/>
      <c r="D23" s="404"/>
      <c r="E23" s="404"/>
      <c r="F23" s="404"/>
      <c r="G23" s="404"/>
      <c r="H23" s="404"/>
    </row>
    <row r="24" spans="1:8" ht="24.95" customHeight="1">
      <c r="A24" s="404" t="s">
        <v>1016</v>
      </c>
      <c r="B24" s="404"/>
      <c r="C24" s="404"/>
      <c r="D24" s="404"/>
      <c r="E24" s="404"/>
      <c r="F24" s="404"/>
      <c r="G24" s="404"/>
      <c r="H24" s="404"/>
    </row>
    <row r="25" spans="1:8" ht="24.95" customHeight="1">
      <c r="A25" s="404" t="s">
        <v>1017</v>
      </c>
      <c r="B25" s="404"/>
      <c r="C25" s="404"/>
      <c r="D25" s="404"/>
      <c r="E25" s="404"/>
      <c r="F25" s="404"/>
      <c r="G25" s="404"/>
      <c r="H25" s="404"/>
    </row>
    <row r="26" spans="1:8" ht="24.95" customHeight="1">
      <c r="A26" s="404" t="s">
        <v>1018</v>
      </c>
      <c r="B26" s="404"/>
      <c r="C26" s="404"/>
      <c r="D26" s="404"/>
      <c r="E26" s="404"/>
      <c r="F26" s="404"/>
      <c r="G26" s="404"/>
      <c r="H26" s="404"/>
    </row>
    <row r="27" spans="1:8" ht="24.95" customHeight="1" thickBot="1">
      <c r="A27" s="404" t="s">
        <v>1019</v>
      </c>
      <c r="B27" s="404"/>
      <c r="C27" s="404"/>
      <c r="D27" s="404"/>
      <c r="E27" s="404"/>
      <c r="F27" s="404"/>
      <c r="G27" s="404"/>
      <c r="H27" s="404"/>
    </row>
    <row r="28" spans="1:8" s="146" customFormat="1" ht="47.25" customHeight="1" thickTop="1" thickBot="1">
      <c r="A28" s="408"/>
      <c r="B28" s="149" t="s">
        <v>0</v>
      </c>
      <c r="C28" s="269" t="s">
        <v>0</v>
      </c>
      <c r="D28" s="223" t="s">
        <v>626</v>
      </c>
      <c r="E28" s="224" t="s">
        <v>758</v>
      </c>
      <c r="F28" s="224" t="s">
        <v>759</v>
      </c>
      <c r="G28" s="224" t="s">
        <v>760</v>
      </c>
      <c r="H28" s="409"/>
    </row>
    <row r="29" spans="1:8" s="146" customFormat="1" ht="50.1" customHeight="1" thickTop="1" thickBot="1">
      <c r="A29" s="408"/>
      <c r="B29" s="150" t="s">
        <v>761</v>
      </c>
      <c r="C29" s="274" t="s">
        <v>1020</v>
      </c>
      <c r="D29" s="270" t="s">
        <v>1021</v>
      </c>
      <c r="E29" s="291" t="s">
        <v>1022</v>
      </c>
      <c r="F29" s="291">
        <v>2691</v>
      </c>
      <c r="G29" s="292">
        <f>F29+(F29*25%)</f>
        <v>3363.75</v>
      </c>
      <c r="H29" s="409"/>
    </row>
    <row r="30" spans="1:8" s="146" customFormat="1" ht="50.1" customHeight="1" thickTop="1" thickBot="1">
      <c r="A30" s="408"/>
      <c r="B30" s="151" t="s">
        <v>763</v>
      </c>
      <c r="C30" s="274" t="s">
        <v>1023</v>
      </c>
      <c r="D30" s="270" t="s">
        <v>1024</v>
      </c>
      <c r="E30" s="291" t="s">
        <v>2</v>
      </c>
      <c r="F30" s="291">
        <v>3</v>
      </c>
      <c r="G30" s="291">
        <v>5</v>
      </c>
      <c r="H30" s="409"/>
    </row>
    <row r="31" spans="1:8" s="146" customFormat="1" ht="50.1" customHeight="1" thickTop="1">
      <c r="A31" s="408"/>
      <c r="B31" s="169"/>
      <c r="C31" s="274" t="s">
        <v>1025</v>
      </c>
      <c r="D31" s="291" t="s">
        <v>1026</v>
      </c>
      <c r="E31" s="291" t="s">
        <v>2</v>
      </c>
      <c r="F31" s="291">
        <v>260</v>
      </c>
      <c r="G31" s="292">
        <v>348</v>
      </c>
      <c r="H31" s="409"/>
    </row>
    <row r="32" spans="1:8" s="146" customFormat="1" ht="50.1" customHeight="1">
      <c r="A32" s="408"/>
      <c r="B32" s="169"/>
      <c r="C32" s="274" t="s">
        <v>1027</v>
      </c>
      <c r="D32" s="270" t="s">
        <v>1028</v>
      </c>
      <c r="E32" s="291" t="s">
        <v>1029</v>
      </c>
      <c r="F32" s="291">
        <v>330</v>
      </c>
      <c r="G32" s="292">
        <f>F32+(F32*25%)</f>
        <v>412.5</v>
      </c>
      <c r="H32" s="409"/>
    </row>
    <row r="33" spans="1:8" s="146" customFormat="1" ht="50.1" customHeight="1">
      <c r="A33" s="408"/>
      <c r="B33" s="169"/>
      <c r="C33" s="274" t="s">
        <v>1030</v>
      </c>
      <c r="D33" s="270" t="s">
        <v>1031</v>
      </c>
      <c r="E33" s="291" t="s">
        <v>1029</v>
      </c>
      <c r="F33" s="291">
        <v>25</v>
      </c>
      <c r="G33" s="291">
        <v>100</v>
      </c>
      <c r="H33" s="409"/>
    </row>
    <row r="34" spans="1:8" s="146" customFormat="1" ht="50.1" customHeight="1">
      <c r="A34" s="408"/>
      <c r="B34" s="169"/>
      <c r="C34" s="274" t="s">
        <v>1032</v>
      </c>
      <c r="D34" s="270" t="s">
        <v>1033</v>
      </c>
      <c r="E34" s="291" t="s">
        <v>1034</v>
      </c>
      <c r="F34" s="291">
        <v>3</v>
      </c>
      <c r="G34" s="291">
        <v>20</v>
      </c>
      <c r="H34" s="409"/>
    </row>
    <row r="35" spans="1:8" ht="65.099999999999994" customHeight="1">
      <c r="A35" s="406"/>
      <c r="B35" s="406"/>
      <c r="C35" s="406"/>
      <c r="D35" s="406"/>
      <c r="E35" s="406"/>
      <c r="F35" s="406"/>
      <c r="G35" s="406"/>
      <c r="H35" s="407"/>
    </row>
  </sheetData>
  <mergeCells count="30">
    <mergeCell ref="A35:H35"/>
    <mergeCell ref="A25:H25"/>
    <mergeCell ref="A26:H26"/>
    <mergeCell ref="A27:H27"/>
    <mergeCell ref="A28:A34"/>
    <mergeCell ref="H28:H34"/>
    <mergeCell ref="A24:H24"/>
    <mergeCell ref="A13:H13"/>
    <mergeCell ref="A14:H14"/>
    <mergeCell ref="A15:H15"/>
    <mergeCell ref="A16:H16"/>
    <mergeCell ref="A17:H17"/>
    <mergeCell ref="A18:H18"/>
    <mergeCell ref="A19:H19"/>
    <mergeCell ref="A20:H20"/>
    <mergeCell ref="A21:H21"/>
    <mergeCell ref="A22:H22"/>
    <mergeCell ref="A23:H23"/>
    <mergeCell ref="A12:H12"/>
    <mergeCell ref="A1:H1"/>
    <mergeCell ref="A2:H2"/>
    <mergeCell ref="A3:H3"/>
    <mergeCell ref="A4:H4"/>
    <mergeCell ref="A5:H5"/>
    <mergeCell ref="A6:H6"/>
    <mergeCell ref="A7:H7"/>
    <mergeCell ref="A8:H8"/>
    <mergeCell ref="A9:H9"/>
    <mergeCell ref="A10:H10"/>
    <mergeCell ref="A11:H11"/>
  </mergeCells>
  <printOptions headings="1"/>
  <pageMargins left="0.7" right="0.42" top="1.08" bottom="0.75" header="0.3" footer="0.3"/>
  <pageSetup paperSize="9" scale="60"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1"/>
  <sheetViews>
    <sheetView showGridLines="0" rightToLeft="1" workbookViewId="0">
      <pane xSplit="14" topLeftCell="O1" activePane="topRight" state="frozen"/>
      <selection activeCell="F12" sqref="F12"/>
      <selection pane="topRight" sqref="A1:N1"/>
    </sheetView>
  </sheetViews>
  <sheetFormatPr defaultColWidth="10.6640625" defaultRowHeight="35.1" customHeight="1"/>
  <cols>
    <col min="1" max="1" width="7.6640625" style="35" customWidth="1"/>
    <col min="2" max="2" width="27.5" style="35" customWidth="1"/>
    <col min="3" max="3" width="13.1640625" style="35" customWidth="1"/>
    <col min="4" max="4" width="13.1640625" style="52" customWidth="1"/>
    <col min="5" max="13" width="10.1640625" style="52" customWidth="1"/>
    <col min="14" max="14" width="10.6640625" style="53" customWidth="1"/>
    <col min="15" max="18" width="8.6640625" style="32" customWidth="1"/>
    <col min="19" max="19" width="8.6640625" style="33" customWidth="1"/>
    <col min="20" max="20" width="13.33203125" style="34" customWidth="1"/>
    <col min="21" max="21" width="10.6640625" style="33"/>
    <col min="22" max="16384" width="10.6640625" style="35"/>
  </cols>
  <sheetData>
    <row r="1" spans="1:21" ht="42" customHeight="1">
      <c r="A1" s="466" t="s">
        <v>132</v>
      </c>
      <c r="B1" s="466"/>
      <c r="C1" s="466"/>
      <c r="D1" s="466"/>
      <c r="E1" s="466"/>
      <c r="F1" s="466"/>
      <c r="G1" s="466"/>
      <c r="H1" s="466"/>
      <c r="I1" s="466"/>
      <c r="J1" s="466"/>
      <c r="K1" s="466"/>
      <c r="L1" s="466"/>
      <c r="M1" s="466"/>
      <c r="N1" s="466"/>
    </row>
    <row r="2" spans="1:21" s="38" customFormat="1" ht="25.5" customHeight="1">
      <c r="A2" s="374" t="s">
        <v>0</v>
      </c>
      <c r="B2" s="374" t="s">
        <v>11</v>
      </c>
      <c r="C2" s="374" t="s">
        <v>102</v>
      </c>
      <c r="D2" s="375" t="s">
        <v>103</v>
      </c>
      <c r="E2" s="375" t="s">
        <v>104</v>
      </c>
      <c r="F2" s="375"/>
      <c r="G2" s="375"/>
      <c r="H2" s="375"/>
      <c r="I2" s="375"/>
      <c r="J2" s="375" t="s">
        <v>105</v>
      </c>
      <c r="K2" s="375"/>
      <c r="L2" s="375"/>
      <c r="M2" s="375"/>
      <c r="N2" s="375"/>
      <c r="O2" s="32"/>
      <c r="P2" s="32"/>
      <c r="Q2" s="32"/>
      <c r="R2" s="32"/>
      <c r="S2" s="36"/>
      <c r="T2" s="37"/>
      <c r="U2" s="36"/>
    </row>
    <row r="3" spans="1:21" s="38" customFormat="1" ht="20.100000000000001" customHeight="1">
      <c r="A3" s="374"/>
      <c r="B3" s="374"/>
      <c r="C3" s="374"/>
      <c r="D3" s="375"/>
      <c r="E3" s="375" t="s">
        <v>106</v>
      </c>
      <c r="F3" s="375"/>
      <c r="G3" s="461">
        <v>1397</v>
      </c>
      <c r="H3" s="461">
        <v>1398</v>
      </c>
      <c r="I3" s="461">
        <v>1399</v>
      </c>
      <c r="J3" s="461">
        <v>1400</v>
      </c>
      <c r="K3" s="461">
        <v>1401</v>
      </c>
      <c r="L3" s="461">
        <v>1402</v>
      </c>
      <c r="M3" s="461">
        <v>1403</v>
      </c>
      <c r="N3" s="461">
        <v>1404</v>
      </c>
      <c r="O3" s="32"/>
      <c r="P3" s="32"/>
      <c r="Q3" s="32"/>
      <c r="R3" s="32"/>
      <c r="S3" s="36"/>
      <c r="T3" s="37"/>
      <c r="U3" s="36"/>
    </row>
    <row r="4" spans="1:21" s="87" customFormat="1" ht="22.5" customHeight="1">
      <c r="A4" s="374"/>
      <c r="B4" s="374"/>
      <c r="C4" s="374"/>
      <c r="D4" s="375"/>
      <c r="E4" s="275">
        <v>1395</v>
      </c>
      <c r="F4" s="275">
        <v>1396</v>
      </c>
      <c r="G4" s="461"/>
      <c r="H4" s="461"/>
      <c r="I4" s="461"/>
      <c r="J4" s="461"/>
      <c r="K4" s="461"/>
      <c r="L4" s="461"/>
      <c r="M4" s="461"/>
      <c r="N4" s="461"/>
      <c r="O4" s="83"/>
      <c r="P4" s="83"/>
      <c r="Q4" s="84"/>
      <c r="R4" s="83"/>
      <c r="S4" s="85"/>
      <c r="T4" s="86"/>
      <c r="U4" s="85"/>
    </row>
    <row r="5" spans="1:21" s="87" customFormat="1" ht="30" customHeight="1">
      <c r="A5" s="276">
        <v>1</v>
      </c>
      <c r="B5" s="205" t="s">
        <v>14</v>
      </c>
      <c r="C5" s="206">
        <f>($A$200+$B$200)*'[26]نرخ تسهیم'!Q3</f>
        <v>135.06451403492022</v>
      </c>
      <c r="D5" s="207">
        <f>C5*1.05</f>
        <v>141.81773973666623</v>
      </c>
      <c r="E5" s="207">
        <f t="shared" ref="E5:N5" si="0">D5*1.05</f>
        <v>148.90862672349954</v>
      </c>
      <c r="F5" s="207">
        <f t="shared" si="0"/>
        <v>156.35405805967451</v>
      </c>
      <c r="G5" s="207">
        <f t="shared" si="0"/>
        <v>164.17176096265825</v>
      </c>
      <c r="H5" s="207">
        <f t="shared" si="0"/>
        <v>172.38034901079118</v>
      </c>
      <c r="I5" s="207">
        <f t="shared" si="0"/>
        <v>180.99936646133074</v>
      </c>
      <c r="J5" s="207">
        <f t="shared" si="0"/>
        <v>190.04933478439727</v>
      </c>
      <c r="K5" s="207">
        <f t="shared" si="0"/>
        <v>199.55180152361714</v>
      </c>
      <c r="L5" s="207">
        <f t="shared" si="0"/>
        <v>209.529391599798</v>
      </c>
      <c r="M5" s="207">
        <f t="shared" si="0"/>
        <v>220.0058611797879</v>
      </c>
      <c r="N5" s="207">
        <f t="shared" si="0"/>
        <v>231.0061542387773</v>
      </c>
      <c r="O5" s="83"/>
      <c r="P5" s="83"/>
      <c r="Q5" s="84"/>
      <c r="R5" s="84"/>
      <c r="S5" s="84"/>
      <c r="T5" s="86"/>
      <c r="U5" s="85"/>
    </row>
    <row r="6" spans="1:21" s="87" customFormat="1" ht="30" customHeight="1">
      <c r="A6" s="276">
        <v>2</v>
      </c>
      <c r="B6" s="205" t="s">
        <v>15</v>
      </c>
      <c r="C6" s="206">
        <f>($A$200+$B$200)*'[26]نرخ تسهیم'!Q4</f>
        <v>229.11205884984636</v>
      </c>
      <c r="D6" s="207">
        <f t="shared" ref="D6:N21" si="1">C6*1.05</f>
        <v>240.5676617923387</v>
      </c>
      <c r="E6" s="207">
        <f t="shared" si="1"/>
        <v>252.59604488195563</v>
      </c>
      <c r="F6" s="207">
        <f t="shared" si="1"/>
        <v>265.22584712605345</v>
      </c>
      <c r="G6" s="207">
        <f t="shared" si="1"/>
        <v>278.48713948235616</v>
      </c>
      <c r="H6" s="207">
        <f t="shared" si="1"/>
        <v>292.41149645647397</v>
      </c>
      <c r="I6" s="207">
        <f t="shared" si="1"/>
        <v>307.03207127929767</v>
      </c>
      <c r="J6" s="207">
        <f t="shared" si="1"/>
        <v>322.38367484326255</v>
      </c>
      <c r="K6" s="207">
        <f t="shared" si="1"/>
        <v>338.50285858542571</v>
      </c>
      <c r="L6" s="207">
        <f t="shared" si="1"/>
        <v>355.42800151469703</v>
      </c>
      <c r="M6" s="207">
        <f t="shared" si="1"/>
        <v>373.19940159043188</v>
      </c>
      <c r="N6" s="207">
        <f t="shared" si="1"/>
        <v>391.85937166995348</v>
      </c>
      <c r="O6" s="83"/>
      <c r="P6" s="83"/>
      <c r="Q6" s="84"/>
      <c r="R6" s="84"/>
      <c r="S6" s="84"/>
      <c r="T6" s="86"/>
      <c r="U6" s="85"/>
    </row>
    <row r="7" spans="1:21" s="87" customFormat="1" ht="30" customHeight="1">
      <c r="A7" s="276">
        <v>3</v>
      </c>
      <c r="B7" s="205" t="s">
        <v>16</v>
      </c>
      <c r="C7" s="206">
        <f>($A$200+$B$200)*'[26]نرخ تسهیم'!Q5</f>
        <v>46.125130980973076</v>
      </c>
      <c r="D7" s="207">
        <f t="shared" si="1"/>
        <v>48.43138753002173</v>
      </c>
      <c r="E7" s="207">
        <f t="shared" si="1"/>
        <v>50.85295690652282</v>
      </c>
      <c r="F7" s="207">
        <f t="shared" si="1"/>
        <v>53.395604751848964</v>
      </c>
      <c r="G7" s="207">
        <f t="shared" si="1"/>
        <v>56.065384989441412</v>
      </c>
      <c r="H7" s="207">
        <f t="shared" si="1"/>
        <v>58.868654238913486</v>
      </c>
      <c r="I7" s="207">
        <f t="shared" si="1"/>
        <v>61.812086950859161</v>
      </c>
      <c r="J7" s="207">
        <f t="shared" si="1"/>
        <v>64.902691298402118</v>
      </c>
      <c r="K7" s="207">
        <f t="shared" si="1"/>
        <v>68.147825863322225</v>
      </c>
      <c r="L7" s="207">
        <f t="shared" si="1"/>
        <v>71.555217156488339</v>
      </c>
      <c r="M7" s="207">
        <f t="shared" si="1"/>
        <v>75.132978014312755</v>
      </c>
      <c r="N7" s="207">
        <f t="shared" si="1"/>
        <v>78.889626915028401</v>
      </c>
      <c r="O7" s="83"/>
      <c r="P7" s="83"/>
      <c r="Q7" s="84"/>
      <c r="R7" s="84"/>
      <c r="S7" s="84"/>
      <c r="T7" s="86"/>
      <c r="U7" s="85"/>
    </row>
    <row r="8" spans="1:21" s="87" customFormat="1" ht="30" customHeight="1">
      <c r="A8" s="276">
        <v>4</v>
      </c>
      <c r="B8" s="205" t="s">
        <v>17</v>
      </c>
      <c r="C8" s="206">
        <f>($A$200+$B$200)*'[26]نرخ تسهیم'!Q6</f>
        <v>176.96596315525986</v>
      </c>
      <c r="D8" s="207">
        <f t="shared" si="1"/>
        <v>185.81426131302285</v>
      </c>
      <c r="E8" s="207">
        <f t="shared" si="1"/>
        <v>195.104974378674</v>
      </c>
      <c r="F8" s="207">
        <f t="shared" si="1"/>
        <v>204.8602230976077</v>
      </c>
      <c r="G8" s="207">
        <f t="shared" si="1"/>
        <v>215.10323425248811</v>
      </c>
      <c r="H8" s="207">
        <f t="shared" si="1"/>
        <v>225.85839596511252</v>
      </c>
      <c r="I8" s="207">
        <f t="shared" si="1"/>
        <v>237.15131576336816</v>
      </c>
      <c r="J8" s="207">
        <f t="shared" si="1"/>
        <v>249.00888155153658</v>
      </c>
      <c r="K8" s="207">
        <f t="shared" si="1"/>
        <v>261.45932562911344</v>
      </c>
      <c r="L8" s="207">
        <f t="shared" si="1"/>
        <v>274.53229191056914</v>
      </c>
      <c r="M8" s="207">
        <f t="shared" si="1"/>
        <v>288.25890650609762</v>
      </c>
      <c r="N8" s="207">
        <f t="shared" si="1"/>
        <v>302.67185183140253</v>
      </c>
      <c r="O8" s="83"/>
      <c r="P8" s="83"/>
      <c r="Q8" s="84"/>
      <c r="R8" s="84"/>
      <c r="S8" s="84"/>
      <c r="T8" s="86"/>
      <c r="U8" s="85"/>
    </row>
    <row r="9" spans="1:21" s="87" customFormat="1" ht="30" customHeight="1">
      <c r="A9" s="276">
        <v>5</v>
      </c>
      <c r="B9" s="205" t="s">
        <v>18</v>
      </c>
      <c r="C9" s="206">
        <f>($A$200+$B$200)*'[26]نرخ تسهیم'!Q7</f>
        <v>121.61636925919463</v>
      </c>
      <c r="D9" s="207">
        <f t="shared" si="1"/>
        <v>127.69718772215437</v>
      </c>
      <c r="E9" s="207">
        <f t="shared" si="1"/>
        <v>134.08204710826209</v>
      </c>
      <c r="F9" s="207">
        <f t="shared" si="1"/>
        <v>140.7861494636752</v>
      </c>
      <c r="G9" s="207">
        <f t="shared" si="1"/>
        <v>147.82545693685896</v>
      </c>
      <c r="H9" s="207">
        <f t="shared" si="1"/>
        <v>155.21672978370191</v>
      </c>
      <c r="I9" s="207">
        <f t="shared" si="1"/>
        <v>162.977566272887</v>
      </c>
      <c r="J9" s="207">
        <f t="shared" si="1"/>
        <v>171.12644458653136</v>
      </c>
      <c r="K9" s="207">
        <f t="shared" si="1"/>
        <v>179.68276681585795</v>
      </c>
      <c r="L9" s="207">
        <f t="shared" si="1"/>
        <v>188.66690515665084</v>
      </c>
      <c r="M9" s="207">
        <f t="shared" si="1"/>
        <v>198.10025041448338</v>
      </c>
      <c r="N9" s="207">
        <f t="shared" si="1"/>
        <v>208.00526293520755</v>
      </c>
      <c r="O9" s="83"/>
      <c r="P9" s="83"/>
      <c r="Q9" s="84"/>
      <c r="R9" s="84"/>
      <c r="S9" s="84"/>
      <c r="T9" s="86"/>
      <c r="U9" s="85"/>
    </row>
    <row r="10" spans="1:21" s="87" customFormat="1" ht="30" customHeight="1">
      <c r="A10" s="276">
        <v>6</v>
      </c>
      <c r="B10" s="205" t="s">
        <v>19</v>
      </c>
      <c r="C10" s="206">
        <f>($A$200+$B$200)*'[26]نرخ تسهیم'!Q8</f>
        <v>35.339191357259224</v>
      </c>
      <c r="D10" s="207">
        <f t="shared" si="1"/>
        <v>37.106150925122186</v>
      </c>
      <c r="E10" s="207">
        <f t="shared" si="1"/>
        <v>38.9614584713783</v>
      </c>
      <c r="F10" s="207">
        <f t="shared" si="1"/>
        <v>40.909531394947216</v>
      </c>
      <c r="G10" s="207">
        <f t="shared" si="1"/>
        <v>42.95500796469458</v>
      </c>
      <c r="H10" s="207">
        <f t="shared" si="1"/>
        <v>45.102758362929315</v>
      </c>
      <c r="I10" s="207">
        <f t="shared" si="1"/>
        <v>47.357896281075782</v>
      </c>
      <c r="J10" s="207">
        <f t="shared" si="1"/>
        <v>49.725791095129573</v>
      </c>
      <c r="K10" s="207">
        <f t="shared" si="1"/>
        <v>52.212080649886055</v>
      </c>
      <c r="L10" s="207">
        <f t="shared" si="1"/>
        <v>54.822684682380363</v>
      </c>
      <c r="M10" s="207">
        <f t="shared" si="1"/>
        <v>57.563818916499386</v>
      </c>
      <c r="N10" s="207">
        <f t="shared" si="1"/>
        <v>60.442009862324355</v>
      </c>
      <c r="O10" s="83"/>
      <c r="P10" s="83"/>
      <c r="Q10" s="84"/>
      <c r="R10" s="84"/>
      <c r="S10" s="84"/>
      <c r="T10" s="86"/>
      <c r="U10" s="85"/>
    </row>
    <row r="11" spans="1:21" s="87" customFormat="1" ht="30" customHeight="1">
      <c r="A11" s="276">
        <v>7</v>
      </c>
      <c r="B11" s="205" t="s">
        <v>20</v>
      </c>
      <c r="C11" s="206">
        <f>($A$200+$B$200)*'[26]نرخ تسهیم'!Q9</f>
        <v>107.4740841493368</v>
      </c>
      <c r="D11" s="207">
        <f t="shared" si="1"/>
        <v>112.84778835680365</v>
      </c>
      <c r="E11" s="207">
        <f t="shared" si="1"/>
        <v>118.49017777464384</v>
      </c>
      <c r="F11" s="207">
        <f t="shared" si="1"/>
        <v>124.41468666337603</v>
      </c>
      <c r="G11" s="207">
        <f t="shared" si="1"/>
        <v>130.63542099654484</v>
      </c>
      <c r="H11" s="207">
        <f t="shared" si="1"/>
        <v>137.16719204637209</v>
      </c>
      <c r="I11" s="207">
        <f t="shared" si="1"/>
        <v>144.02555164869071</v>
      </c>
      <c r="J11" s="207">
        <f t="shared" si="1"/>
        <v>151.22682923112524</v>
      </c>
      <c r="K11" s="207">
        <f t="shared" si="1"/>
        <v>158.78817069268152</v>
      </c>
      <c r="L11" s="207">
        <f t="shared" si="1"/>
        <v>166.7275792273156</v>
      </c>
      <c r="M11" s="207">
        <f t="shared" si="1"/>
        <v>175.0639581886814</v>
      </c>
      <c r="N11" s="207">
        <f t="shared" si="1"/>
        <v>183.81715609811548</v>
      </c>
      <c r="O11" s="83"/>
      <c r="P11" s="83"/>
      <c r="Q11" s="84"/>
      <c r="R11" s="84"/>
      <c r="S11" s="84"/>
      <c r="T11" s="86"/>
      <c r="U11" s="85"/>
    </row>
    <row r="12" spans="1:21" s="87" customFormat="1" ht="30" customHeight="1">
      <c r="A12" s="276">
        <v>8</v>
      </c>
      <c r="B12" s="205" t="s">
        <v>21</v>
      </c>
      <c r="C12" s="206">
        <f>($A$200+$B$200)*'[26]نرخ تسهیم'!Q10</f>
        <v>212.93425712394475</v>
      </c>
      <c r="D12" s="207">
        <f t="shared" si="1"/>
        <v>223.58096998014199</v>
      </c>
      <c r="E12" s="207">
        <f t="shared" si="1"/>
        <v>234.7600184791491</v>
      </c>
      <c r="F12" s="207">
        <f t="shared" si="1"/>
        <v>246.49801940310655</v>
      </c>
      <c r="G12" s="207">
        <f t="shared" si="1"/>
        <v>258.82292037326187</v>
      </c>
      <c r="H12" s="207">
        <f t="shared" si="1"/>
        <v>271.76406639192498</v>
      </c>
      <c r="I12" s="207">
        <f t="shared" si="1"/>
        <v>285.35226971152127</v>
      </c>
      <c r="J12" s="207">
        <f t="shared" si="1"/>
        <v>299.61988319709735</v>
      </c>
      <c r="K12" s="207">
        <f t="shared" si="1"/>
        <v>314.60087735695225</v>
      </c>
      <c r="L12" s="207">
        <f t="shared" si="1"/>
        <v>330.33092122479985</v>
      </c>
      <c r="M12" s="207">
        <f t="shared" si="1"/>
        <v>346.84746728603989</v>
      </c>
      <c r="N12" s="207">
        <f t="shared" si="1"/>
        <v>364.18984065034192</v>
      </c>
      <c r="O12" s="83"/>
      <c r="P12" s="83"/>
      <c r="Q12" s="84"/>
      <c r="R12" s="84"/>
      <c r="S12" s="84"/>
      <c r="T12" s="86"/>
      <c r="U12" s="85"/>
    </row>
    <row r="13" spans="1:21" s="87" customFormat="1" ht="30" customHeight="1">
      <c r="A13" s="276">
        <v>9</v>
      </c>
      <c r="B13" s="205" t="s">
        <v>22</v>
      </c>
      <c r="C13" s="206">
        <f>($A$200+$B$200)*'[26]نرخ تسهیم'!Q11</f>
        <v>5.1620261496732232</v>
      </c>
      <c r="D13" s="207">
        <f t="shared" si="1"/>
        <v>5.4201274571568847</v>
      </c>
      <c r="E13" s="207">
        <f t="shared" si="1"/>
        <v>5.6911338300147296</v>
      </c>
      <c r="F13" s="207">
        <f t="shared" si="1"/>
        <v>5.9756905215154665</v>
      </c>
      <c r="G13" s="207">
        <f t="shared" si="1"/>
        <v>6.2744750475912401</v>
      </c>
      <c r="H13" s="207">
        <f t="shared" si="1"/>
        <v>6.5881987999708027</v>
      </c>
      <c r="I13" s="207">
        <f t="shared" si="1"/>
        <v>6.9176087399693431</v>
      </c>
      <c r="J13" s="207">
        <f t="shared" si="1"/>
        <v>7.2634891769678109</v>
      </c>
      <c r="K13" s="207">
        <f t="shared" si="1"/>
        <v>7.6266636358162021</v>
      </c>
      <c r="L13" s="207">
        <f t="shared" si="1"/>
        <v>8.0079968176070118</v>
      </c>
      <c r="M13" s="207">
        <f t="shared" si="1"/>
        <v>8.4083966584873622</v>
      </c>
      <c r="N13" s="207">
        <f t="shared" si="1"/>
        <v>8.8288164914117306</v>
      </c>
      <c r="O13" s="83"/>
      <c r="P13" s="83"/>
      <c r="Q13" s="84"/>
      <c r="R13" s="84"/>
      <c r="S13" s="84"/>
      <c r="T13" s="86"/>
      <c r="U13" s="85"/>
    </row>
    <row r="14" spans="1:21" s="87" customFormat="1" ht="30" customHeight="1">
      <c r="A14" s="276">
        <v>10</v>
      </c>
      <c r="B14" s="205" t="s">
        <v>23</v>
      </c>
      <c r="C14" s="206">
        <f>($A$200+$B$200)*'[26]نرخ تسهیم'!Q12</f>
        <v>57.858257286205586</v>
      </c>
      <c r="D14" s="207">
        <f t="shared" si="1"/>
        <v>60.751170150515868</v>
      </c>
      <c r="E14" s="207">
        <f t="shared" si="1"/>
        <v>63.788728658041663</v>
      </c>
      <c r="F14" s="207">
        <f t="shared" si="1"/>
        <v>66.978165090943747</v>
      </c>
      <c r="G14" s="207">
        <f t="shared" si="1"/>
        <v>70.327073345490945</v>
      </c>
      <c r="H14" s="207">
        <f t="shared" si="1"/>
        <v>73.843427012765488</v>
      </c>
      <c r="I14" s="207">
        <f t="shared" si="1"/>
        <v>77.535598363403764</v>
      </c>
      <c r="J14" s="207">
        <f t="shared" si="1"/>
        <v>81.41237828157395</v>
      </c>
      <c r="K14" s="207">
        <f t="shared" si="1"/>
        <v>85.482997195652658</v>
      </c>
      <c r="L14" s="207">
        <f t="shared" si="1"/>
        <v>89.757147055435297</v>
      </c>
      <c r="M14" s="207">
        <f t="shared" si="1"/>
        <v>94.245004408207066</v>
      </c>
      <c r="N14" s="207">
        <f t="shared" si="1"/>
        <v>98.95725462861742</v>
      </c>
      <c r="O14" s="83"/>
      <c r="P14" s="83"/>
      <c r="Q14" s="84"/>
      <c r="R14" s="84"/>
      <c r="S14" s="84"/>
      <c r="T14" s="86"/>
      <c r="U14" s="85"/>
    </row>
    <row r="15" spans="1:21" s="87" customFormat="1" ht="30" customHeight="1">
      <c r="A15" s="276">
        <v>11</v>
      </c>
      <c r="B15" s="205" t="s">
        <v>24</v>
      </c>
      <c r="C15" s="206">
        <f>($A$200+$B$200)*'[26]نرخ تسهیم'!Q13</f>
        <v>92.968280227766584</v>
      </c>
      <c r="D15" s="207">
        <f t="shared" si="1"/>
        <v>97.616694239154924</v>
      </c>
      <c r="E15" s="207">
        <f t="shared" si="1"/>
        <v>102.49752895111267</v>
      </c>
      <c r="F15" s="207">
        <f t="shared" si="1"/>
        <v>107.62240539866831</v>
      </c>
      <c r="G15" s="207">
        <f t="shared" si="1"/>
        <v>113.00352566860172</v>
      </c>
      <c r="H15" s="207">
        <f t="shared" si="1"/>
        <v>118.65370195203181</v>
      </c>
      <c r="I15" s="207">
        <f t="shared" si="1"/>
        <v>124.5863870496334</v>
      </c>
      <c r="J15" s="207">
        <f t="shared" si="1"/>
        <v>130.81570640211507</v>
      </c>
      <c r="K15" s="207">
        <f t="shared" si="1"/>
        <v>137.35649172222082</v>
      </c>
      <c r="L15" s="207">
        <f t="shared" si="1"/>
        <v>144.22431630833188</v>
      </c>
      <c r="M15" s="207">
        <f t="shared" si="1"/>
        <v>151.43553212374849</v>
      </c>
      <c r="N15" s="207">
        <f t="shared" si="1"/>
        <v>159.00730872993591</v>
      </c>
      <c r="O15" s="83"/>
      <c r="P15" s="83"/>
      <c r="Q15" s="84"/>
      <c r="R15" s="84"/>
      <c r="S15" s="84"/>
      <c r="T15" s="86"/>
      <c r="U15" s="85"/>
    </row>
    <row r="16" spans="1:21" s="87" customFormat="1" ht="30" customHeight="1">
      <c r="A16" s="276">
        <v>12</v>
      </c>
      <c r="B16" s="205" t="s">
        <v>25</v>
      </c>
      <c r="C16" s="206">
        <f>($A$200+$B$200)*'[26]نرخ تسهیم'!Q14</f>
        <v>231.6067649074559</v>
      </c>
      <c r="D16" s="207">
        <f t="shared" si="1"/>
        <v>243.18710315282871</v>
      </c>
      <c r="E16" s="207">
        <f t="shared" si="1"/>
        <v>255.34645831047015</v>
      </c>
      <c r="F16" s="207">
        <f t="shared" si="1"/>
        <v>268.11378122599365</v>
      </c>
      <c r="G16" s="207">
        <f t="shared" si="1"/>
        <v>281.51947028729336</v>
      </c>
      <c r="H16" s="207">
        <f t="shared" si="1"/>
        <v>295.59544380165806</v>
      </c>
      <c r="I16" s="207">
        <f t="shared" si="1"/>
        <v>310.37521599174096</v>
      </c>
      <c r="J16" s="207">
        <f t="shared" si="1"/>
        <v>325.89397679132804</v>
      </c>
      <c r="K16" s="207">
        <f t="shared" si="1"/>
        <v>342.18867563089447</v>
      </c>
      <c r="L16" s="207">
        <f t="shared" si="1"/>
        <v>359.2981094124392</v>
      </c>
      <c r="M16" s="207">
        <f t="shared" si="1"/>
        <v>377.2630148830612</v>
      </c>
      <c r="N16" s="207">
        <f t="shared" si="1"/>
        <v>396.12616562721428</v>
      </c>
      <c r="O16" s="83"/>
      <c r="P16" s="83"/>
      <c r="Q16" s="84"/>
      <c r="R16" s="84"/>
      <c r="S16" s="84"/>
      <c r="T16" s="86"/>
      <c r="U16" s="85"/>
    </row>
    <row r="17" spans="1:21" s="87" customFormat="1" ht="30" customHeight="1">
      <c r="A17" s="276">
        <v>13</v>
      </c>
      <c r="B17" s="205" t="s">
        <v>26</v>
      </c>
      <c r="C17" s="206">
        <f>($A$200+$B$200)*'[26]نرخ تسهیم'!Q15</f>
        <v>27.147786047995286</v>
      </c>
      <c r="D17" s="207">
        <f t="shared" si="1"/>
        <v>28.505175350395053</v>
      </c>
      <c r="E17" s="207">
        <f t="shared" si="1"/>
        <v>29.930434117914807</v>
      </c>
      <c r="F17" s="207">
        <f t="shared" si="1"/>
        <v>31.426955823810548</v>
      </c>
      <c r="G17" s="207">
        <f t="shared" si="1"/>
        <v>32.998303615001078</v>
      </c>
      <c r="H17" s="207">
        <f t="shared" si="1"/>
        <v>34.648218795751134</v>
      </c>
      <c r="I17" s="207">
        <f t="shared" si="1"/>
        <v>36.38062973553869</v>
      </c>
      <c r="J17" s="207">
        <f t="shared" si="1"/>
        <v>38.199661222315626</v>
      </c>
      <c r="K17" s="207">
        <f t="shared" si="1"/>
        <v>40.109644283431408</v>
      </c>
      <c r="L17" s="207">
        <f t="shared" si="1"/>
        <v>42.115126497602979</v>
      </c>
      <c r="M17" s="207">
        <f t="shared" si="1"/>
        <v>44.220882822483134</v>
      </c>
      <c r="N17" s="207">
        <f t="shared" si="1"/>
        <v>46.431926963607289</v>
      </c>
      <c r="O17" s="83"/>
      <c r="P17" s="83"/>
      <c r="Q17" s="84"/>
      <c r="R17" s="84"/>
      <c r="S17" s="84"/>
      <c r="T17" s="86"/>
      <c r="U17" s="85"/>
    </row>
    <row r="18" spans="1:21" s="87" customFormat="1" ht="30" customHeight="1">
      <c r="A18" s="276">
        <v>14</v>
      </c>
      <c r="B18" s="205" t="s">
        <v>27</v>
      </c>
      <c r="C18" s="206">
        <f>($A$200+$B$200)*'[26]نرخ تسهیم'!Q16</f>
        <v>190.90146210434989</v>
      </c>
      <c r="D18" s="207">
        <f t="shared" si="1"/>
        <v>200.4465352095674</v>
      </c>
      <c r="E18" s="207">
        <f t="shared" si="1"/>
        <v>210.46886197004579</v>
      </c>
      <c r="F18" s="207">
        <f t="shared" si="1"/>
        <v>220.99230506854809</v>
      </c>
      <c r="G18" s="207">
        <f t="shared" si="1"/>
        <v>232.04192032197551</v>
      </c>
      <c r="H18" s="207">
        <f t="shared" si="1"/>
        <v>243.64401633807429</v>
      </c>
      <c r="I18" s="207">
        <f t="shared" si="1"/>
        <v>255.82621715497802</v>
      </c>
      <c r="J18" s="207">
        <f t="shared" si="1"/>
        <v>268.61752801272695</v>
      </c>
      <c r="K18" s="207">
        <f t="shared" si="1"/>
        <v>282.0484044133633</v>
      </c>
      <c r="L18" s="207">
        <f t="shared" si="1"/>
        <v>296.15082463403149</v>
      </c>
      <c r="M18" s="207">
        <f t="shared" si="1"/>
        <v>310.95836586573307</v>
      </c>
      <c r="N18" s="207">
        <f t="shared" si="1"/>
        <v>326.50628415901974</v>
      </c>
      <c r="O18" s="83"/>
      <c r="P18" s="83"/>
      <c r="Q18" s="84"/>
      <c r="R18" s="84"/>
      <c r="S18" s="84"/>
      <c r="T18" s="86"/>
      <c r="U18" s="85"/>
    </row>
    <row r="19" spans="1:21" s="87" customFormat="1" ht="30" customHeight="1">
      <c r="A19" s="276">
        <v>15</v>
      </c>
      <c r="B19" s="205" t="s">
        <v>28</v>
      </c>
      <c r="C19" s="206">
        <f>($A$200+$B$200)*'[26]نرخ تسهیم'!Q17</f>
        <v>28.650183045355195</v>
      </c>
      <c r="D19" s="207">
        <f t="shared" si="1"/>
        <v>30.082692197622958</v>
      </c>
      <c r="E19" s="207">
        <f t="shared" si="1"/>
        <v>31.586826807504107</v>
      </c>
      <c r="F19" s="207">
        <f t="shared" si="1"/>
        <v>33.166168147879311</v>
      </c>
      <c r="G19" s="207">
        <f t="shared" si="1"/>
        <v>34.824476555273279</v>
      </c>
      <c r="H19" s="207">
        <f t="shared" si="1"/>
        <v>36.565700383036948</v>
      </c>
      <c r="I19" s="207">
        <f t="shared" si="1"/>
        <v>38.393985402188797</v>
      </c>
      <c r="J19" s="207">
        <f t="shared" si="1"/>
        <v>40.313684672298237</v>
      </c>
      <c r="K19" s="207">
        <f t="shared" si="1"/>
        <v>42.329368905913149</v>
      </c>
      <c r="L19" s="207">
        <f t="shared" si="1"/>
        <v>44.445837351208809</v>
      </c>
      <c r="M19" s="207">
        <f t="shared" si="1"/>
        <v>46.668129218769252</v>
      </c>
      <c r="N19" s="207">
        <f t="shared" si="1"/>
        <v>49.001535679707715</v>
      </c>
      <c r="O19" s="83"/>
      <c r="P19" s="83"/>
      <c r="Q19" s="84"/>
      <c r="R19" s="84"/>
      <c r="S19" s="84"/>
      <c r="T19" s="86"/>
      <c r="U19" s="85"/>
    </row>
    <row r="20" spans="1:21" s="87" customFormat="1" ht="30" customHeight="1">
      <c r="A20" s="276">
        <v>16</v>
      </c>
      <c r="B20" s="205" t="s">
        <v>29</v>
      </c>
      <c r="C20" s="206">
        <f>($A$200+$B$200)*'[26]نرخ تسهیم'!Q18</f>
        <v>53.787208919799795</v>
      </c>
      <c r="D20" s="207">
        <f t="shared" si="1"/>
        <v>56.476569365789786</v>
      </c>
      <c r="E20" s="207">
        <f t="shared" si="1"/>
        <v>59.300397834079277</v>
      </c>
      <c r="F20" s="207">
        <f t="shared" si="1"/>
        <v>62.265417725783244</v>
      </c>
      <c r="G20" s="207">
        <f t="shared" si="1"/>
        <v>65.378688612072409</v>
      </c>
      <c r="H20" s="207">
        <f t="shared" si="1"/>
        <v>68.647623042676031</v>
      </c>
      <c r="I20" s="207">
        <f t="shared" si="1"/>
        <v>72.080004194809831</v>
      </c>
      <c r="J20" s="207">
        <f t="shared" si="1"/>
        <v>75.684004404550322</v>
      </c>
      <c r="K20" s="207">
        <f t="shared" si="1"/>
        <v>79.46820462477784</v>
      </c>
      <c r="L20" s="207">
        <f t="shared" si="1"/>
        <v>83.441614856016741</v>
      </c>
      <c r="M20" s="207">
        <f t="shared" si="1"/>
        <v>87.613695598817586</v>
      </c>
      <c r="N20" s="207">
        <f t="shared" si="1"/>
        <v>91.994380378758464</v>
      </c>
      <c r="O20" s="83"/>
      <c r="P20" s="83"/>
      <c r="Q20" s="84"/>
      <c r="R20" s="84"/>
      <c r="S20" s="84"/>
      <c r="T20" s="86"/>
      <c r="U20" s="85"/>
    </row>
    <row r="21" spans="1:21" s="87" customFormat="1" ht="30" customHeight="1">
      <c r="A21" s="276">
        <v>17</v>
      </c>
      <c r="B21" s="205" t="s">
        <v>30</v>
      </c>
      <c r="C21" s="206">
        <f>($A$200+$B$200)*'[26]نرخ تسهیم'!Q19</f>
        <v>140.35695928398198</v>
      </c>
      <c r="D21" s="207">
        <f t="shared" si="1"/>
        <v>147.37480724818107</v>
      </c>
      <c r="E21" s="207">
        <f t="shared" si="1"/>
        <v>154.74354761059013</v>
      </c>
      <c r="F21" s="207">
        <f t="shared" si="1"/>
        <v>162.48072499111964</v>
      </c>
      <c r="G21" s="207">
        <f t="shared" si="1"/>
        <v>170.60476124067563</v>
      </c>
      <c r="H21" s="207">
        <f t="shared" si="1"/>
        <v>179.13499930270942</v>
      </c>
      <c r="I21" s="207">
        <f t="shared" si="1"/>
        <v>188.0917492678449</v>
      </c>
      <c r="J21" s="207">
        <f t="shared" si="1"/>
        <v>197.49633673123716</v>
      </c>
      <c r="K21" s="207">
        <f t="shared" si="1"/>
        <v>207.37115356779904</v>
      </c>
      <c r="L21" s="207">
        <f t="shared" si="1"/>
        <v>217.73971124618899</v>
      </c>
      <c r="M21" s="207">
        <f t="shared" si="1"/>
        <v>228.62669680849845</v>
      </c>
      <c r="N21" s="207">
        <f t="shared" si="1"/>
        <v>240.05803164892339</v>
      </c>
      <c r="O21" s="83"/>
      <c r="P21" s="83"/>
      <c r="Q21" s="84"/>
      <c r="R21" s="84"/>
      <c r="S21" s="84"/>
      <c r="T21" s="86"/>
      <c r="U21" s="85"/>
    </row>
    <row r="22" spans="1:21" s="87" customFormat="1" ht="30" customHeight="1">
      <c r="A22" s="276">
        <v>18</v>
      </c>
      <c r="B22" s="205" t="s">
        <v>31</v>
      </c>
      <c r="C22" s="206">
        <f>($A$200+$B$200)*'[26]نرخ تسهیم'!Q20</f>
        <v>126.29743551761922</v>
      </c>
      <c r="D22" s="207">
        <f t="shared" ref="D22:N36" si="2">C22*1.05</f>
        <v>132.61230729350018</v>
      </c>
      <c r="E22" s="207">
        <f t="shared" si="2"/>
        <v>139.24292265817519</v>
      </c>
      <c r="F22" s="207">
        <f t="shared" si="2"/>
        <v>146.20506879108396</v>
      </c>
      <c r="G22" s="207">
        <f t="shared" si="2"/>
        <v>153.51532223063816</v>
      </c>
      <c r="H22" s="207">
        <f t="shared" si="2"/>
        <v>161.19108834217008</v>
      </c>
      <c r="I22" s="207">
        <f t="shared" si="2"/>
        <v>169.25064275927858</v>
      </c>
      <c r="J22" s="207">
        <f t="shared" si="2"/>
        <v>177.71317489724251</v>
      </c>
      <c r="K22" s="207">
        <f t="shared" si="2"/>
        <v>186.59883364210464</v>
      </c>
      <c r="L22" s="207">
        <f t="shared" si="2"/>
        <v>195.92877532420988</v>
      </c>
      <c r="M22" s="207">
        <f t="shared" si="2"/>
        <v>205.72521409042039</v>
      </c>
      <c r="N22" s="207">
        <f t="shared" si="2"/>
        <v>216.01147479494142</v>
      </c>
      <c r="O22" s="83"/>
      <c r="P22" s="83"/>
      <c r="Q22" s="84"/>
      <c r="R22" s="84"/>
      <c r="S22" s="84"/>
      <c r="T22" s="86"/>
      <c r="U22" s="85"/>
    </row>
    <row r="23" spans="1:21" s="87" customFormat="1" ht="30" customHeight="1">
      <c r="A23" s="276">
        <v>19</v>
      </c>
      <c r="B23" s="205" t="s">
        <v>32</v>
      </c>
      <c r="C23" s="206">
        <f>($A$200+$B$200)*'[26]نرخ تسهیم'!Q21</f>
        <v>64.189066173960668</v>
      </c>
      <c r="D23" s="207">
        <f t="shared" si="2"/>
        <v>67.398519482658699</v>
      </c>
      <c r="E23" s="207">
        <f t="shared" si="2"/>
        <v>70.768445456791639</v>
      </c>
      <c r="F23" s="207">
        <f t="shared" si="2"/>
        <v>74.306867729631222</v>
      </c>
      <c r="G23" s="207">
        <f t="shared" si="2"/>
        <v>78.022211116112786</v>
      </c>
      <c r="H23" s="207">
        <f t="shared" si="2"/>
        <v>81.92332167191843</v>
      </c>
      <c r="I23" s="207">
        <f t="shared" si="2"/>
        <v>86.019487755514362</v>
      </c>
      <c r="J23" s="207">
        <f t="shared" si="2"/>
        <v>90.320462143290086</v>
      </c>
      <c r="K23" s="207">
        <f t="shared" si="2"/>
        <v>94.836485250454601</v>
      </c>
      <c r="L23" s="207">
        <f t="shared" si="2"/>
        <v>99.578309512977341</v>
      </c>
      <c r="M23" s="207">
        <f t="shared" si="2"/>
        <v>104.55722498862622</v>
      </c>
      <c r="N23" s="207">
        <f t="shared" si="2"/>
        <v>109.78508623805753</v>
      </c>
      <c r="O23" s="83"/>
      <c r="P23" s="83"/>
      <c r="Q23" s="84"/>
      <c r="R23" s="84"/>
      <c r="S23" s="84"/>
      <c r="T23" s="86"/>
      <c r="U23" s="85"/>
    </row>
    <row r="24" spans="1:21" s="87" customFormat="1" ht="30" customHeight="1">
      <c r="A24" s="276">
        <v>20</v>
      </c>
      <c r="B24" s="205" t="s">
        <v>33</v>
      </c>
      <c r="C24" s="206">
        <f>($A$200+$B$200)*'[26]نرخ تسهیم'!Q22</f>
        <v>54.665681530401109</v>
      </c>
      <c r="D24" s="207">
        <f t="shared" si="2"/>
        <v>57.398965606921166</v>
      </c>
      <c r="E24" s="207">
        <f t="shared" si="2"/>
        <v>60.268913887267225</v>
      </c>
      <c r="F24" s="207">
        <f t="shared" si="2"/>
        <v>63.282359581630587</v>
      </c>
      <c r="G24" s="207">
        <f t="shared" si="2"/>
        <v>66.446477560712125</v>
      </c>
      <c r="H24" s="207">
        <f t="shared" si="2"/>
        <v>69.76880143874773</v>
      </c>
      <c r="I24" s="207">
        <f t="shared" si="2"/>
        <v>73.25724151068512</v>
      </c>
      <c r="J24" s="207">
        <f t="shared" si="2"/>
        <v>76.920103586219383</v>
      </c>
      <c r="K24" s="207">
        <f t="shared" si="2"/>
        <v>80.766108765530362</v>
      </c>
      <c r="L24" s="207">
        <f t="shared" si="2"/>
        <v>84.804414203806886</v>
      </c>
      <c r="M24" s="207">
        <f t="shared" si="2"/>
        <v>89.044634913997228</v>
      </c>
      <c r="N24" s="207">
        <f t="shared" si="2"/>
        <v>93.496866659697091</v>
      </c>
      <c r="O24" s="83"/>
      <c r="P24" s="83"/>
      <c r="Q24" s="84"/>
      <c r="R24" s="84"/>
      <c r="S24" s="84"/>
      <c r="T24" s="86"/>
      <c r="U24" s="85"/>
    </row>
    <row r="25" spans="1:21" s="87" customFormat="1" ht="30" customHeight="1">
      <c r="A25" s="276">
        <v>21</v>
      </c>
      <c r="B25" s="205" t="s">
        <v>34</v>
      </c>
      <c r="C25" s="206">
        <f>($A$200+$B$200)*'[26]نرخ تسهیم'!Q23</f>
        <v>68.25725659541672</v>
      </c>
      <c r="D25" s="207">
        <f t="shared" si="2"/>
        <v>71.670119425187565</v>
      </c>
      <c r="E25" s="207">
        <f t="shared" si="2"/>
        <v>75.253625396446949</v>
      </c>
      <c r="F25" s="207">
        <f t="shared" si="2"/>
        <v>79.016306666269301</v>
      </c>
      <c r="G25" s="207">
        <f t="shared" si="2"/>
        <v>82.967121999582773</v>
      </c>
      <c r="H25" s="207">
        <f t="shared" si="2"/>
        <v>87.115478099561912</v>
      </c>
      <c r="I25" s="207">
        <f t="shared" si="2"/>
        <v>91.471252004540005</v>
      </c>
      <c r="J25" s="207">
        <f t="shared" si="2"/>
        <v>96.044814604767012</v>
      </c>
      <c r="K25" s="207">
        <f t="shared" si="2"/>
        <v>100.84705533500536</v>
      </c>
      <c r="L25" s="207">
        <f t="shared" si="2"/>
        <v>105.88940810175563</v>
      </c>
      <c r="M25" s="207">
        <f t="shared" si="2"/>
        <v>111.18387850684343</v>
      </c>
      <c r="N25" s="207">
        <f t="shared" si="2"/>
        <v>116.7430724321856</v>
      </c>
      <c r="O25" s="83"/>
      <c r="P25" s="83"/>
      <c r="Q25" s="84"/>
      <c r="R25" s="84"/>
      <c r="S25" s="84"/>
      <c r="T25" s="86"/>
      <c r="U25" s="85"/>
    </row>
    <row r="26" spans="1:21" s="87" customFormat="1" ht="30" customHeight="1">
      <c r="A26" s="276">
        <v>22</v>
      </c>
      <c r="B26" s="205" t="s">
        <v>35</v>
      </c>
      <c r="C26" s="206">
        <f>($A$200+$B$200)*'[26]نرخ تسهیم'!Q24</f>
        <v>71.839336633129733</v>
      </c>
      <c r="D26" s="207">
        <f t="shared" si="2"/>
        <v>75.431303464786225</v>
      </c>
      <c r="E26" s="207">
        <f t="shared" si="2"/>
        <v>79.202868638025535</v>
      </c>
      <c r="F26" s="207">
        <f t="shared" si="2"/>
        <v>83.163012069926822</v>
      </c>
      <c r="G26" s="207">
        <f t="shared" si="2"/>
        <v>87.32116267342316</v>
      </c>
      <c r="H26" s="207">
        <f t="shared" si="2"/>
        <v>91.68722080709432</v>
      </c>
      <c r="I26" s="207">
        <f t="shared" si="2"/>
        <v>96.271581847449042</v>
      </c>
      <c r="J26" s="207">
        <f t="shared" si="2"/>
        <v>101.08516093982149</v>
      </c>
      <c r="K26" s="207">
        <f t="shared" si="2"/>
        <v>106.13941898681257</v>
      </c>
      <c r="L26" s="207">
        <f t="shared" si="2"/>
        <v>111.44638993615321</v>
      </c>
      <c r="M26" s="207">
        <f t="shared" si="2"/>
        <v>117.01870943296088</v>
      </c>
      <c r="N26" s="207">
        <f t="shared" si="2"/>
        <v>122.86964490460892</v>
      </c>
      <c r="O26" s="83"/>
      <c r="P26" s="83"/>
      <c r="Q26" s="84"/>
      <c r="R26" s="84"/>
      <c r="S26" s="84"/>
      <c r="T26" s="86"/>
      <c r="U26" s="85"/>
    </row>
    <row r="27" spans="1:21" s="87" customFormat="1" ht="30" customHeight="1">
      <c r="A27" s="276">
        <v>23</v>
      </c>
      <c r="B27" s="205" t="s">
        <v>36</v>
      </c>
      <c r="C27" s="206">
        <f>($A$200+$B$200)*'[26]نرخ تسهیم'!Q25</f>
        <v>92.0436729952132</v>
      </c>
      <c r="D27" s="207">
        <f t="shared" si="2"/>
        <v>96.645856644973861</v>
      </c>
      <c r="E27" s="207">
        <f t="shared" si="2"/>
        <v>101.47814947722256</v>
      </c>
      <c r="F27" s="207">
        <f t="shared" si="2"/>
        <v>106.55205695108369</v>
      </c>
      <c r="G27" s="207">
        <f t="shared" si="2"/>
        <v>111.87965979863787</v>
      </c>
      <c r="H27" s="207">
        <f t="shared" si="2"/>
        <v>117.47364278856978</v>
      </c>
      <c r="I27" s="207">
        <f t="shared" si="2"/>
        <v>123.34732492799827</v>
      </c>
      <c r="J27" s="207">
        <f t="shared" si="2"/>
        <v>129.51469117439819</v>
      </c>
      <c r="K27" s="207">
        <f t="shared" si="2"/>
        <v>135.99042573311812</v>
      </c>
      <c r="L27" s="207">
        <f t="shared" si="2"/>
        <v>142.78994701977402</v>
      </c>
      <c r="M27" s="207">
        <f t="shared" si="2"/>
        <v>149.92944437076272</v>
      </c>
      <c r="N27" s="207">
        <f t="shared" si="2"/>
        <v>157.42591658930087</v>
      </c>
      <c r="O27" s="83"/>
      <c r="P27" s="83"/>
      <c r="Q27" s="84"/>
      <c r="R27" s="84"/>
      <c r="S27" s="84"/>
      <c r="T27" s="86"/>
      <c r="U27" s="85"/>
    </row>
    <row r="28" spans="1:21" s="87" customFormat="1" ht="30" customHeight="1">
      <c r="A28" s="276">
        <v>24</v>
      </c>
      <c r="B28" s="205" t="s">
        <v>37</v>
      </c>
      <c r="C28" s="206">
        <f>($A$200+$B$200)*'[26]نرخ تسهیم'!Q26</f>
        <v>25.277298565355842</v>
      </c>
      <c r="D28" s="207">
        <f t="shared" si="2"/>
        <v>26.541163493623635</v>
      </c>
      <c r="E28" s="207">
        <f t="shared" si="2"/>
        <v>27.86822166830482</v>
      </c>
      <c r="F28" s="207">
        <f t="shared" si="2"/>
        <v>29.261632751720061</v>
      </c>
      <c r="G28" s="207">
        <f t="shared" si="2"/>
        <v>30.724714389306065</v>
      </c>
      <c r="H28" s="207">
        <f t="shared" si="2"/>
        <v>32.260950108771368</v>
      </c>
      <c r="I28" s="207">
        <f t="shared" si="2"/>
        <v>33.873997614209941</v>
      </c>
      <c r="J28" s="207">
        <f t="shared" si="2"/>
        <v>35.567697494920438</v>
      </c>
      <c r="K28" s="207">
        <f t="shared" si="2"/>
        <v>37.346082369666462</v>
      </c>
      <c r="L28" s="207">
        <f t="shared" si="2"/>
        <v>39.213386488149787</v>
      </c>
      <c r="M28" s="207">
        <f t="shared" si="2"/>
        <v>41.174055812557278</v>
      </c>
      <c r="N28" s="207">
        <f t="shared" si="2"/>
        <v>43.232758603185147</v>
      </c>
      <c r="O28" s="83"/>
      <c r="P28" s="83"/>
      <c r="Q28" s="84"/>
      <c r="R28" s="84"/>
      <c r="S28" s="84"/>
      <c r="T28" s="86"/>
      <c r="U28" s="85"/>
    </row>
    <row r="29" spans="1:21" s="87" customFormat="1" ht="30" customHeight="1">
      <c r="A29" s="276">
        <v>25</v>
      </c>
      <c r="B29" s="205" t="s">
        <v>38</v>
      </c>
      <c r="C29" s="206">
        <f>($A$200+$B$200)*'[26]نرخ تسهیم'!Q27</f>
        <v>97.911959275215082</v>
      </c>
      <c r="D29" s="207">
        <f t="shared" si="2"/>
        <v>102.80755723897585</v>
      </c>
      <c r="E29" s="207">
        <f t="shared" si="2"/>
        <v>107.94793510092464</v>
      </c>
      <c r="F29" s="207">
        <f t="shared" si="2"/>
        <v>113.34533185597087</v>
      </c>
      <c r="G29" s="207">
        <f t="shared" si="2"/>
        <v>119.01259844876942</v>
      </c>
      <c r="H29" s="207">
        <f t="shared" si="2"/>
        <v>124.9632283712079</v>
      </c>
      <c r="I29" s="207">
        <f t="shared" si="2"/>
        <v>131.2113897897683</v>
      </c>
      <c r="J29" s="207">
        <f t="shared" si="2"/>
        <v>137.77195927925672</v>
      </c>
      <c r="K29" s="207">
        <f t="shared" si="2"/>
        <v>144.66055724321956</v>
      </c>
      <c r="L29" s="207">
        <f t="shared" si="2"/>
        <v>151.89358510538054</v>
      </c>
      <c r="M29" s="207">
        <f t="shared" si="2"/>
        <v>159.48826436064957</v>
      </c>
      <c r="N29" s="207">
        <f t="shared" si="2"/>
        <v>167.46267757868205</v>
      </c>
      <c r="O29" s="83"/>
      <c r="P29" s="83"/>
      <c r="Q29" s="84"/>
      <c r="R29" s="84"/>
      <c r="S29" s="84"/>
      <c r="T29" s="86"/>
      <c r="U29" s="85"/>
    </row>
    <row r="30" spans="1:21" s="87" customFormat="1" ht="30" customHeight="1">
      <c r="A30" s="276">
        <v>26</v>
      </c>
      <c r="B30" s="205" t="s">
        <v>39</v>
      </c>
      <c r="C30" s="206">
        <f>($A$200+$B$200)*'[26]نرخ تسهیم'!Q28</f>
        <v>76.716105958123251</v>
      </c>
      <c r="D30" s="207">
        <f t="shared" si="2"/>
        <v>80.551911256029413</v>
      </c>
      <c r="E30" s="207">
        <f t="shared" si="2"/>
        <v>84.579506818830893</v>
      </c>
      <c r="F30" s="207">
        <f t="shared" si="2"/>
        <v>88.808482159772439</v>
      </c>
      <c r="G30" s="207">
        <f t="shared" si="2"/>
        <v>93.248906267761058</v>
      </c>
      <c r="H30" s="207">
        <f t="shared" si="2"/>
        <v>97.91135158114912</v>
      </c>
      <c r="I30" s="207">
        <f t="shared" si="2"/>
        <v>102.80691916020658</v>
      </c>
      <c r="J30" s="207">
        <f t="shared" si="2"/>
        <v>107.9472651182169</v>
      </c>
      <c r="K30" s="207">
        <f t="shared" si="2"/>
        <v>113.34462837412775</v>
      </c>
      <c r="L30" s="207">
        <f t="shared" si="2"/>
        <v>119.01185979283414</v>
      </c>
      <c r="M30" s="207">
        <f t="shared" si="2"/>
        <v>124.96245278247585</v>
      </c>
      <c r="N30" s="207">
        <f t="shared" si="2"/>
        <v>131.21057542159966</v>
      </c>
      <c r="O30" s="83"/>
      <c r="P30" s="83"/>
      <c r="Q30" s="84"/>
      <c r="R30" s="84"/>
      <c r="S30" s="84"/>
      <c r="T30" s="86"/>
      <c r="U30" s="85"/>
    </row>
    <row r="31" spans="1:21" s="87" customFormat="1" ht="30" customHeight="1">
      <c r="A31" s="276">
        <v>27</v>
      </c>
      <c r="B31" s="205" t="s">
        <v>40</v>
      </c>
      <c r="C31" s="206">
        <f>($A$200+$B$200)*'[26]نرخ تسهیم'!Q29</f>
        <v>70.480646288631107</v>
      </c>
      <c r="D31" s="207">
        <f t="shared" si="2"/>
        <v>74.004678603062672</v>
      </c>
      <c r="E31" s="207">
        <f t="shared" si="2"/>
        <v>77.704912533215804</v>
      </c>
      <c r="F31" s="207">
        <f t="shared" si="2"/>
        <v>81.590158159876594</v>
      </c>
      <c r="G31" s="207">
        <f t="shared" si="2"/>
        <v>85.669666067870423</v>
      </c>
      <c r="H31" s="207">
        <f t="shared" si="2"/>
        <v>89.953149371263947</v>
      </c>
      <c r="I31" s="207">
        <f t="shared" si="2"/>
        <v>94.450806839827152</v>
      </c>
      <c r="J31" s="207">
        <f t="shared" si="2"/>
        <v>99.173347181818514</v>
      </c>
      <c r="K31" s="207">
        <f t="shared" si="2"/>
        <v>104.13201454090944</v>
      </c>
      <c r="L31" s="207">
        <f t="shared" si="2"/>
        <v>109.33861526795492</v>
      </c>
      <c r="M31" s="207">
        <f t="shared" si="2"/>
        <v>114.80554603135268</v>
      </c>
      <c r="N31" s="207">
        <f t="shared" si="2"/>
        <v>120.54582333292032</v>
      </c>
      <c r="O31" s="83"/>
      <c r="P31" s="83"/>
      <c r="Q31" s="84"/>
      <c r="R31" s="84"/>
      <c r="S31" s="84"/>
      <c r="T31" s="86"/>
      <c r="U31" s="85"/>
    </row>
    <row r="32" spans="1:21" s="87" customFormat="1" ht="30" customHeight="1">
      <c r="A32" s="276">
        <v>28</v>
      </c>
      <c r="B32" s="205" t="s">
        <v>41</v>
      </c>
      <c r="C32" s="206">
        <f>($A$200+$B$200)*'[26]نرخ تسهیم'!Q30</f>
        <v>230.66124808182059</v>
      </c>
      <c r="D32" s="207">
        <f t="shared" si="2"/>
        <v>242.19431048591161</v>
      </c>
      <c r="E32" s="207">
        <f t="shared" si="2"/>
        <v>254.3040260102072</v>
      </c>
      <c r="F32" s="207">
        <f t="shared" si="2"/>
        <v>267.01922731071755</v>
      </c>
      <c r="G32" s="207">
        <f t="shared" si="2"/>
        <v>280.37018867625346</v>
      </c>
      <c r="H32" s="207">
        <f t="shared" si="2"/>
        <v>294.38869811006617</v>
      </c>
      <c r="I32" s="207">
        <f t="shared" si="2"/>
        <v>309.10813301556948</v>
      </c>
      <c r="J32" s="207">
        <f t="shared" si="2"/>
        <v>324.56353966634799</v>
      </c>
      <c r="K32" s="207">
        <f t="shared" si="2"/>
        <v>340.79171664966543</v>
      </c>
      <c r="L32" s="207">
        <f t="shared" si="2"/>
        <v>357.83130248214871</v>
      </c>
      <c r="M32" s="207">
        <f t="shared" si="2"/>
        <v>375.72286760625616</v>
      </c>
      <c r="N32" s="207">
        <f t="shared" si="2"/>
        <v>394.50901098656897</v>
      </c>
      <c r="O32" s="83"/>
      <c r="P32" s="83"/>
      <c r="Q32" s="84"/>
      <c r="R32" s="84"/>
      <c r="S32" s="84"/>
      <c r="T32" s="86"/>
      <c r="U32" s="85"/>
    </row>
    <row r="33" spans="1:21" s="87" customFormat="1" ht="30" customHeight="1">
      <c r="A33" s="276">
        <v>29</v>
      </c>
      <c r="B33" s="205" t="s">
        <v>42</v>
      </c>
      <c r="C33" s="206">
        <f>($A$200+$B$200)*'[26]نرخ تسهیم'!Q31</f>
        <v>86.395859969717648</v>
      </c>
      <c r="D33" s="207">
        <f t="shared" si="2"/>
        <v>90.715652968203528</v>
      </c>
      <c r="E33" s="207">
        <f t="shared" si="2"/>
        <v>95.251435616613705</v>
      </c>
      <c r="F33" s="207">
        <f t="shared" si="2"/>
        <v>100.01400739744439</v>
      </c>
      <c r="G33" s="207">
        <f t="shared" si="2"/>
        <v>105.01470776731661</v>
      </c>
      <c r="H33" s="207">
        <f t="shared" si="2"/>
        <v>110.26544315568245</v>
      </c>
      <c r="I33" s="207">
        <f t="shared" si="2"/>
        <v>115.77871531346658</v>
      </c>
      <c r="J33" s="207">
        <f t="shared" si="2"/>
        <v>121.56765107913991</v>
      </c>
      <c r="K33" s="207">
        <f t="shared" si="2"/>
        <v>127.64603363309691</v>
      </c>
      <c r="L33" s="207">
        <f t="shared" si="2"/>
        <v>134.02833531475176</v>
      </c>
      <c r="M33" s="207">
        <f t="shared" si="2"/>
        <v>140.72975208048936</v>
      </c>
      <c r="N33" s="207">
        <f t="shared" si="2"/>
        <v>147.76623968451383</v>
      </c>
      <c r="O33" s="83"/>
      <c r="P33" s="83"/>
      <c r="Q33" s="84"/>
      <c r="R33" s="84"/>
      <c r="S33" s="84"/>
      <c r="T33" s="86"/>
      <c r="U33" s="85"/>
    </row>
    <row r="34" spans="1:21" s="87" customFormat="1" ht="30" customHeight="1">
      <c r="A34" s="276">
        <v>30</v>
      </c>
      <c r="B34" s="205" t="s">
        <v>43</v>
      </c>
      <c r="C34" s="206">
        <f>($A$200+$B$200)*'[26]نرخ تسهیم'!Q32</f>
        <v>137.23326122026336</v>
      </c>
      <c r="D34" s="207">
        <f t="shared" si="2"/>
        <v>144.09492428127652</v>
      </c>
      <c r="E34" s="207">
        <f t="shared" si="2"/>
        <v>151.29967049534037</v>
      </c>
      <c r="F34" s="207">
        <f t="shared" si="2"/>
        <v>158.86465402010739</v>
      </c>
      <c r="G34" s="207">
        <f t="shared" si="2"/>
        <v>166.80788672111277</v>
      </c>
      <c r="H34" s="207">
        <f t="shared" si="2"/>
        <v>175.14828105716842</v>
      </c>
      <c r="I34" s="207">
        <f t="shared" si="2"/>
        <v>183.90569511002684</v>
      </c>
      <c r="J34" s="207">
        <f t="shared" si="2"/>
        <v>193.10097986552819</v>
      </c>
      <c r="K34" s="207">
        <f t="shared" si="2"/>
        <v>202.7560288588046</v>
      </c>
      <c r="L34" s="207">
        <f t="shared" si="2"/>
        <v>212.89383030174483</v>
      </c>
      <c r="M34" s="207">
        <f t="shared" si="2"/>
        <v>223.53852181683209</v>
      </c>
      <c r="N34" s="207">
        <f t="shared" si="2"/>
        <v>234.71544790767371</v>
      </c>
      <c r="O34" s="83"/>
      <c r="P34" s="83"/>
      <c r="Q34" s="84"/>
      <c r="R34" s="84"/>
      <c r="S34" s="84"/>
      <c r="T34" s="86"/>
      <c r="U34" s="85"/>
    </row>
    <row r="35" spans="1:21" s="87" customFormat="1" ht="30" customHeight="1">
      <c r="A35" s="276">
        <v>31</v>
      </c>
      <c r="B35" s="205" t="s">
        <v>44</v>
      </c>
      <c r="C35" s="206">
        <f>($A$200+$B$200)*'[26]نرخ تسهیم'!Q33</f>
        <v>49.210404904381512</v>
      </c>
      <c r="D35" s="207">
        <f t="shared" si="2"/>
        <v>51.670925149600592</v>
      </c>
      <c r="E35" s="207">
        <f t="shared" si="2"/>
        <v>54.254471407080622</v>
      </c>
      <c r="F35" s="207">
        <f t="shared" si="2"/>
        <v>56.967194977434659</v>
      </c>
      <c r="G35" s="207">
        <f t="shared" si="2"/>
        <v>59.815554726306395</v>
      </c>
      <c r="H35" s="207">
        <f t="shared" si="2"/>
        <v>62.806332462621718</v>
      </c>
      <c r="I35" s="207">
        <f t="shared" si="2"/>
        <v>65.94664908575281</v>
      </c>
      <c r="J35" s="207">
        <f t="shared" si="2"/>
        <v>69.243981540040451</v>
      </c>
      <c r="K35" s="207">
        <f t="shared" si="2"/>
        <v>72.706180617042477</v>
      </c>
      <c r="L35" s="207">
        <f t="shared" si="2"/>
        <v>76.341489647894605</v>
      </c>
      <c r="M35" s="207">
        <f t="shared" si="2"/>
        <v>80.158564130289335</v>
      </c>
      <c r="N35" s="207">
        <f t="shared" si="2"/>
        <v>84.166492336803799</v>
      </c>
      <c r="O35" s="83"/>
      <c r="P35" s="83"/>
      <c r="Q35" s="84"/>
      <c r="R35" s="84"/>
      <c r="S35" s="84"/>
      <c r="T35" s="86"/>
      <c r="U35" s="85"/>
    </row>
    <row r="36" spans="1:21" s="87" customFormat="1" ht="30" customHeight="1">
      <c r="A36" s="276">
        <v>32</v>
      </c>
      <c r="B36" s="205" t="s">
        <v>45</v>
      </c>
      <c r="C36" s="206">
        <f>($A$200+$B$200)*'[26]نرخ تسهیم'!Q34</f>
        <v>61.887373407431589</v>
      </c>
      <c r="D36" s="207">
        <f t="shared" si="2"/>
        <v>64.981742077803176</v>
      </c>
      <c r="E36" s="207">
        <f t="shared" si="2"/>
        <v>68.230829181693338</v>
      </c>
      <c r="F36" s="207">
        <f t="shared" si="2"/>
        <v>71.642370640778012</v>
      </c>
      <c r="G36" s="207">
        <f t="shared" si="2"/>
        <v>75.224489172816916</v>
      </c>
      <c r="H36" s="207">
        <f t="shared" si="2"/>
        <v>78.98571363145777</v>
      </c>
      <c r="I36" s="207">
        <f t="shared" si="2"/>
        <v>82.934999313030659</v>
      </c>
      <c r="J36" s="207">
        <f t="shared" si="2"/>
        <v>87.081749278682196</v>
      </c>
      <c r="K36" s="207">
        <f t="shared" si="2"/>
        <v>91.435836742616303</v>
      </c>
      <c r="L36" s="207">
        <f t="shared" si="2"/>
        <v>96.00762857974712</v>
      </c>
      <c r="M36" s="207">
        <f t="shared" si="2"/>
        <v>100.80801000873448</v>
      </c>
      <c r="N36" s="207">
        <f t="shared" si="2"/>
        <v>105.84841050917122</v>
      </c>
      <c r="O36" s="83"/>
      <c r="P36" s="83"/>
      <c r="Q36" s="84"/>
      <c r="R36" s="84"/>
      <c r="S36" s="84"/>
      <c r="T36" s="86"/>
      <c r="U36" s="85"/>
    </row>
    <row r="37" spans="1:21" s="90" customFormat="1" ht="30" customHeight="1">
      <c r="A37" s="464" t="s">
        <v>107</v>
      </c>
      <c r="B37" s="464"/>
      <c r="C37" s="206">
        <f t="shared" ref="C37:N37" si="3">SUM(C5:C36)</f>
        <v>3206.1371039999981</v>
      </c>
      <c r="D37" s="206">
        <f t="shared" si="3"/>
        <v>3366.4439591999985</v>
      </c>
      <c r="E37" s="206">
        <f t="shared" si="3"/>
        <v>3534.7661571599983</v>
      </c>
      <c r="F37" s="206">
        <f t="shared" si="3"/>
        <v>3711.5044650179998</v>
      </c>
      <c r="G37" s="206">
        <f t="shared" si="3"/>
        <v>3897.0796882688992</v>
      </c>
      <c r="H37" s="206">
        <f t="shared" si="3"/>
        <v>4091.9336726823449</v>
      </c>
      <c r="I37" s="206">
        <f t="shared" si="3"/>
        <v>4296.5303563164625</v>
      </c>
      <c r="J37" s="206">
        <f t="shared" si="3"/>
        <v>4511.3568741322833</v>
      </c>
      <c r="K37" s="206">
        <f t="shared" si="3"/>
        <v>4736.9247178388987</v>
      </c>
      <c r="L37" s="206">
        <f t="shared" si="3"/>
        <v>4973.7709537308438</v>
      </c>
      <c r="M37" s="206">
        <f t="shared" si="3"/>
        <v>5222.4595014173865</v>
      </c>
      <c r="N37" s="206">
        <f t="shared" si="3"/>
        <v>5483.5824764882545</v>
      </c>
      <c r="O37" s="83"/>
      <c r="P37" s="83"/>
      <c r="Q37" s="84"/>
      <c r="R37" s="84"/>
      <c r="S37" s="84"/>
      <c r="T37" s="88"/>
      <c r="U37" s="89"/>
    </row>
    <row r="199" spans="1:20" s="33" customFormat="1" ht="35.1" customHeight="1">
      <c r="D199" s="80"/>
      <c r="E199" s="80"/>
      <c r="F199" s="80"/>
      <c r="G199" s="80"/>
      <c r="H199" s="80"/>
      <c r="I199" s="80"/>
      <c r="J199" s="80"/>
      <c r="K199" s="80"/>
      <c r="L199" s="80"/>
      <c r="M199" s="80"/>
      <c r="N199" s="81"/>
      <c r="O199" s="32"/>
      <c r="P199" s="32"/>
      <c r="Q199" s="32"/>
      <c r="R199" s="32"/>
      <c r="T199" s="34"/>
    </row>
    <row r="200" spans="1:20" s="47" customFormat="1" ht="35.1" hidden="1" customHeight="1">
      <c r="A200" s="47">
        <f>'[26]عملیات-فعالیت ها  '!$L$48</f>
        <v>3206.1371039999999</v>
      </c>
      <c r="B200" s="47">
        <f>'[26]عملیات-فعالیت ها  '!$M$48</f>
        <v>0</v>
      </c>
      <c r="D200" s="48"/>
      <c r="E200" s="48"/>
      <c r="F200" s="48"/>
      <c r="G200" s="48"/>
      <c r="H200" s="48"/>
      <c r="I200" s="48"/>
      <c r="J200" s="48"/>
      <c r="K200" s="48"/>
      <c r="L200" s="48"/>
      <c r="M200" s="48"/>
      <c r="N200" s="49"/>
      <c r="O200" s="50"/>
      <c r="P200" s="50"/>
      <c r="Q200" s="50"/>
      <c r="R200" s="50"/>
      <c r="T200" s="51"/>
    </row>
    <row r="201" spans="1:20" s="33" customFormat="1" ht="35.1" customHeight="1">
      <c r="D201" s="80"/>
      <c r="E201" s="80"/>
      <c r="F201" s="80"/>
      <c r="G201" s="80"/>
      <c r="H201" s="80"/>
      <c r="I201" s="80"/>
      <c r="J201" s="80"/>
      <c r="K201" s="80"/>
      <c r="L201" s="80"/>
      <c r="M201" s="80"/>
      <c r="N201" s="81"/>
      <c r="O201" s="32"/>
      <c r="P201" s="32"/>
      <c r="Q201" s="32"/>
      <c r="R201" s="32"/>
      <c r="T201" s="34"/>
    </row>
  </sheetData>
  <mergeCells count="17">
    <mergeCell ref="A37:B37"/>
    <mergeCell ref="I3:I4"/>
    <mergeCell ref="J3:J4"/>
    <mergeCell ref="K3:K4"/>
    <mergeCell ref="L3:L4"/>
    <mergeCell ref="M3:M4"/>
    <mergeCell ref="N3:N4"/>
    <mergeCell ref="A1:N1"/>
    <mergeCell ref="A2:A4"/>
    <mergeCell ref="B2:B4"/>
    <mergeCell ref="C2:C4"/>
    <mergeCell ref="D2:D4"/>
    <mergeCell ref="E2:I2"/>
    <mergeCell ref="J2:N2"/>
    <mergeCell ref="E3:F3"/>
    <mergeCell ref="G3:G4"/>
    <mergeCell ref="H3:H4"/>
  </mergeCells>
  <pageMargins left="0.7" right="0.7" top="0.75" bottom="0.75" header="0.3" footer="0.3"/>
  <pageSetup paperSize="9" orientation="portrait" r:id="rId1"/>
  <drawing r:id="rId2"/>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278"/>
  <sheetViews>
    <sheetView showGridLines="0" rightToLeft="1" workbookViewId="0">
      <pane xSplit="25" topLeftCell="Z1" activePane="topRight" state="frozen"/>
      <selection pane="topRight" sqref="A1:M1"/>
    </sheetView>
  </sheetViews>
  <sheetFormatPr defaultColWidth="28.6640625" defaultRowHeight="5.65" customHeight="1"/>
  <cols>
    <col min="1" max="1" width="9.33203125" style="3" customWidth="1"/>
    <col min="2" max="2" width="55.5" style="3" customWidth="1"/>
    <col min="3" max="3" width="9" style="125" customWidth="1"/>
    <col min="4" max="9" width="6.6640625" style="126" customWidth="1"/>
    <col min="10" max="12" width="12.5" style="3" customWidth="1"/>
    <col min="13" max="13" width="12.33203125" style="2" customWidth="1"/>
    <col min="14" max="18" width="10.1640625" style="29" hidden="1" customWidth="1"/>
    <col min="19" max="23" width="10.33203125" style="29" hidden="1" customWidth="1"/>
    <col min="24" max="25" width="10.1640625" style="30" hidden="1" customWidth="1"/>
    <col min="26" max="26" width="16.5" style="121" customWidth="1"/>
    <col min="27" max="27" width="28.6640625" style="2"/>
    <col min="28" max="16384" width="28.6640625" style="3"/>
  </cols>
  <sheetData>
    <row r="1" spans="1:27" ht="56.25" customHeight="1">
      <c r="A1" s="413" t="s">
        <v>468</v>
      </c>
      <c r="B1" s="413"/>
      <c r="C1" s="413"/>
      <c r="D1" s="413"/>
      <c r="E1" s="413"/>
      <c r="F1" s="413"/>
      <c r="G1" s="413"/>
      <c r="H1" s="413"/>
      <c r="I1" s="413"/>
      <c r="J1" s="413"/>
      <c r="K1" s="413"/>
      <c r="L1" s="413"/>
      <c r="M1" s="413"/>
    </row>
    <row r="2" spans="1:27" ht="33.75" customHeight="1">
      <c r="A2" s="262">
        <f>$M$49</f>
        <v>650</v>
      </c>
      <c r="B2" s="430" t="s">
        <v>134</v>
      </c>
      <c r="C2" s="383" t="s">
        <v>135</v>
      </c>
      <c r="D2" s="384" t="s">
        <v>136</v>
      </c>
      <c r="E2" s="384"/>
      <c r="F2" s="384"/>
      <c r="G2" s="384"/>
      <c r="H2" s="384" t="s">
        <v>137</v>
      </c>
      <c r="I2" s="384" t="s">
        <v>138</v>
      </c>
      <c r="J2" s="385" t="s">
        <v>139</v>
      </c>
      <c r="K2" s="385" t="s">
        <v>140</v>
      </c>
      <c r="L2" s="385" t="s">
        <v>141</v>
      </c>
      <c r="M2" s="386" t="s">
        <v>142</v>
      </c>
    </row>
    <row r="3" spans="1:27" ht="31.5" customHeight="1">
      <c r="A3" s="263" t="s">
        <v>0</v>
      </c>
      <c r="B3" s="430"/>
      <c r="C3" s="383"/>
      <c r="D3" s="208" t="s">
        <v>143</v>
      </c>
      <c r="E3" s="208" t="s">
        <v>144</v>
      </c>
      <c r="F3" s="208" t="s">
        <v>145</v>
      </c>
      <c r="G3" s="208" t="s">
        <v>146</v>
      </c>
      <c r="H3" s="384"/>
      <c r="I3" s="384"/>
      <c r="J3" s="385"/>
      <c r="K3" s="385"/>
      <c r="L3" s="385"/>
      <c r="M3" s="386"/>
      <c r="N3" s="29" t="s">
        <v>147</v>
      </c>
      <c r="O3" s="29" t="s">
        <v>148</v>
      </c>
      <c r="P3" s="29" t="s">
        <v>149</v>
      </c>
      <c r="Q3" s="29" t="s">
        <v>150</v>
      </c>
      <c r="R3" s="29" t="s">
        <v>147</v>
      </c>
      <c r="S3" s="29" t="s">
        <v>148</v>
      </c>
      <c r="T3" s="29" t="s">
        <v>149</v>
      </c>
      <c r="U3" s="29" t="s">
        <v>150</v>
      </c>
      <c r="V3" s="29" t="s">
        <v>164</v>
      </c>
      <c r="W3" s="29" t="s">
        <v>165</v>
      </c>
      <c r="X3" s="30" t="s">
        <v>153</v>
      </c>
      <c r="Y3" s="30" t="s">
        <v>154</v>
      </c>
    </row>
    <row r="4" spans="1:27" ht="54.95" customHeight="1">
      <c r="A4" s="209">
        <v>1</v>
      </c>
      <c r="B4" s="250" t="s">
        <v>469</v>
      </c>
      <c r="C4" s="211">
        <v>0.2</v>
      </c>
      <c r="D4" s="212">
        <v>0</v>
      </c>
      <c r="E4" s="212">
        <v>0</v>
      </c>
      <c r="F4" s="212">
        <v>1</v>
      </c>
      <c r="G4" s="212">
        <v>0</v>
      </c>
      <c r="H4" s="212">
        <v>1</v>
      </c>
      <c r="I4" s="212">
        <v>1</v>
      </c>
      <c r="J4" s="213">
        <v>0</v>
      </c>
      <c r="K4" s="213">
        <v>0</v>
      </c>
      <c r="L4" s="213">
        <f t="shared" ref="L4:L47" si="0">(((J4*C4)/$A$2)*D4)+(((J4*C4)/$A$2)*E4)+(((J4*C4)/$A$2)*F4)+(((J4*C4)/$A$2)*G4)</f>
        <v>0</v>
      </c>
      <c r="M4" s="214">
        <f t="shared" ref="M4:M47" si="1">(((K4*C4)/$A$2)*D4)+(((K4*C4)/$A$2)*E4)+(((K4*C4)/$A$2)*F4)+(((K4*C4)/$A$2)*G4)</f>
        <v>0</v>
      </c>
      <c r="N4" s="143">
        <f t="shared" ref="N4:N47" si="2">J4*D4*C4/$A$2</f>
        <v>0</v>
      </c>
      <c r="O4" s="143">
        <f t="shared" ref="O4:O47" si="3">J4*E4*C4/$A$2</f>
        <v>0</v>
      </c>
      <c r="P4" s="143">
        <f>J4*F4*C4/$A$2</f>
        <v>0</v>
      </c>
      <c r="Q4" s="143">
        <f t="shared" ref="Q4:Q47" si="4">J4*G4*C4/$A$2</f>
        <v>0</v>
      </c>
      <c r="R4" s="143">
        <f t="shared" ref="R4:R47" si="5">K4*D4*C4/$A$2</f>
        <v>0</v>
      </c>
      <c r="S4" s="143">
        <f t="shared" ref="S4:S47" si="6">K4*E4*C4/$A$2</f>
        <v>0</v>
      </c>
      <c r="T4" s="143">
        <f t="shared" ref="T4:T47" si="7">K4*F4*C4/$A$2</f>
        <v>0</v>
      </c>
      <c r="U4" s="143">
        <f t="shared" ref="U4:U47" si="8">K4*G4*C4/$A$2</f>
        <v>0</v>
      </c>
      <c r="V4" s="29">
        <f>((L4/15)*((I4+H4)-2))</f>
        <v>0</v>
      </c>
      <c r="W4" s="29">
        <f>((M4/15)*((I4+H4)-2))</f>
        <v>0</v>
      </c>
      <c r="X4" s="30">
        <f>L4*(V4/(V4-0.0000001))</f>
        <v>0</v>
      </c>
      <c r="Y4" s="30">
        <f>M4*(W4/(W4-0.0000001))</f>
        <v>0</v>
      </c>
      <c r="Z4" s="2"/>
      <c r="AA4" s="3"/>
    </row>
    <row r="5" spans="1:27" ht="54.95" customHeight="1">
      <c r="A5" s="209">
        <v>2</v>
      </c>
      <c r="B5" s="250" t="s">
        <v>470</v>
      </c>
      <c r="C5" s="211">
        <v>0.3</v>
      </c>
      <c r="D5" s="212">
        <v>0</v>
      </c>
      <c r="E5" s="212">
        <v>0</v>
      </c>
      <c r="F5" s="212">
        <v>1</v>
      </c>
      <c r="G5" s="212">
        <v>0</v>
      </c>
      <c r="H5" s="212">
        <v>1</v>
      </c>
      <c r="I5" s="212">
        <v>1</v>
      </c>
      <c r="J5" s="213">
        <v>0</v>
      </c>
      <c r="K5" s="213">
        <v>0</v>
      </c>
      <c r="L5" s="213">
        <f t="shared" si="0"/>
        <v>0</v>
      </c>
      <c r="M5" s="214">
        <f t="shared" si="1"/>
        <v>0</v>
      </c>
      <c r="N5" s="143">
        <f t="shared" si="2"/>
        <v>0</v>
      </c>
      <c r="O5" s="143">
        <f t="shared" si="3"/>
        <v>0</v>
      </c>
      <c r="P5" s="143">
        <f t="shared" ref="P5:P47" si="9">J5*F5*C5/$A$2</f>
        <v>0</v>
      </c>
      <c r="Q5" s="143">
        <f t="shared" si="4"/>
        <v>0</v>
      </c>
      <c r="R5" s="143">
        <f t="shared" si="5"/>
        <v>0</v>
      </c>
      <c r="S5" s="143">
        <f t="shared" si="6"/>
        <v>0</v>
      </c>
      <c r="T5" s="143">
        <f t="shared" si="7"/>
        <v>0</v>
      </c>
      <c r="U5" s="143">
        <f t="shared" si="8"/>
        <v>0</v>
      </c>
      <c r="V5" s="29">
        <f t="shared" ref="V5:V47" si="10">((L5/15)*((I5+H5)-2))</f>
        <v>0</v>
      </c>
      <c r="W5" s="29">
        <f t="shared" ref="W5:W47" si="11">((M5/15)*((I5+H5)-2))</f>
        <v>0</v>
      </c>
      <c r="X5" s="30">
        <f t="shared" ref="X5:Y47" si="12">L5*(V5/(V5-0.0000001))</f>
        <v>0</v>
      </c>
      <c r="Y5" s="30">
        <f t="shared" si="12"/>
        <v>0</v>
      </c>
      <c r="Z5" s="2"/>
      <c r="AA5" s="3"/>
    </row>
    <row r="6" spans="1:27" ht="54.95" customHeight="1">
      <c r="A6" s="209">
        <v>3</v>
      </c>
      <c r="B6" s="250" t="s">
        <v>471</v>
      </c>
      <c r="C6" s="211">
        <v>0.7</v>
      </c>
      <c r="D6" s="212">
        <v>0</v>
      </c>
      <c r="E6" s="212">
        <v>0</v>
      </c>
      <c r="F6" s="212">
        <v>1</v>
      </c>
      <c r="G6" s="212">
        <v>0</v>
      </c>
      <c r="H6" s="212">
        <v>1</v>
      </c>
      <c r="I6" s="212">
        <v>1</v>
      </c>
      <c r="J6" s="213">
        <v>0</v>
      </c>
      <c r="K6" s="213">
        <v>0</v>
      </c>
      <c r="L6" s="213">
        <f t="shared" si="0"/>
        <v>0</v>
      </c>
      <c r="M6" s="214">
        <f t="shared" si="1"/>
        <v>0</v>
      </c>
      <c r="N6" s="143">
        <f t="shared" si="2"/>
        <v>0</v>
      </c>
      <c r="O6" s="143">
        <f t="shared" si="3"/>
        <v>0</v>
      </c>
      <c r="P6" s="143">
        <f t="shared" si="9"/>
        <v>0</v>
      </c>
      <c r="Q6" s="143">
        <f t="shared" si="4"/>
        <v>0</v>
      </c>
      <c r="R6" s="143">
        <f t="shared" si="5"/>
        <v>0</v>
      </c>
      <c r="S6" s="143">
        <f t="shared" si="6"/>
        <v>0</v>
      </c>
      <c r="T6" s="143">
        <f t="shared" si="7"/>
        <v>0</v>
      </c>
      <c r="U6" s="143">
        <f t="shared" si="8"/>
        <v>0</v>
      </c>
      <c r="V6" s="29">
        <f t="shared" si="10"/>
        <v>0</v>
      </c>
      <c r="W6" s="29">
        <f t="shared" si="11"/>
        <v>0</v>
      </c>
      <c r="X6" s="30">
        <f t="shared" si="12"/>
        <v>0</v>
      </c>
      <c r="Y6" s="30">
        <f t="shared" si="12"/>
        <v>0</v>
      </c>
      <c r="Z6" s="2"/>
      <c r="AA6" s="3"/>
    </row>
    <row r="7" spans="1:27" ht="54.95" customHeight="1">
      <c r="A7" s="209">
        <v>4</v>
      </c>
      <c r="B7" s="250" t="s">
        <v>472</v>
      </c>
      <c r="C7" s="211">
        <v>0.5</v>
      </c>
      <c r="D7" s="212">
        <v>0</v>
      </c>
      <c r="E7" s="212">
        <v>0</v>
      </c>
      <c r="F7" s="212">
        <v>1</v>
      </c>
      <c r="G7" s="212">
        <v>0</v>
      </c>
      <c r="H7" s="212">
        <v>1</v>
      </c>
      <c r="I7" s="212">
        <v>1</v>
      </c>
      <c r="J7" s="213">
        <v>0</v>
      </c>
      <c r="K7" s="213">
        <v>0</v>
      </c>
      <c r="L7" s="213">
        <f t="shared" si="0"/>
        <v>0</v>
      </c>
      <c r="M7" s="214">
        <f t="shared" si="1"/>
        <v>0</v>
      </c>
      <c r="N7" s="143">
        <f t="shared" si="2"/>
        <v>0</v>
      </c>
      <c r="O7" s="143">
        <f t="shared" si="3"/>
        <v>0</v>
      </c>
      <c r="P7" s="143">
        <f t="shared" si="9"/>
        <v>0</v>
      </c>
      <c r="Q7" s="143">
        <f t="shared" si="4"/>
        <v>0</v>
      </c>
      <c r="R7" s="143">
        <f t="shared" si="5"/>
        <v>0</v>
      </c>
      <c r="S7" s="143">
        <f t="shared" si="6"/>
        <v>0</v>
      </c>
      <c r="T7" s="143">
        <f t="shared" si="7"/>
        <v>0</v>
      </c>
      <c r="U7" s="143">
        <f t="shared" si="8"/>
        <v>0</v>
      </c>
      <c r="V7" s="29">
        <f t="shared" si="10"/>
        <v>0</v>
      </c>
      <c r="W7" s="29">
        <f t="shared" si="11"/>
        <v>0</v>
      </c>
      <c r="X7" s="30">
        <f t="shared" si="12"/>
        <v>0</v>
      </c>
      <c r="Y7" s="30">
        <f t="shared" si="12"/>
        <v>0</v>
      </c>
      <c r="Z7" s="2"/>
      <c r="AA7" s="3"/>
    </row>
    <row r="8" spans="1:27" ht="54.95" customHeight="1">
      <c r="A8" s="209">
        <v>5</v>
      </c>
      <c r="B8" s="250" t="s">
        <v>473</v>
      </c>
      <c r="C8" s="211">
        <v>0.7</v>
      </c>
      <c r="D8" s="212">
        <v>0</v>
      </c>
      <c r="E8" s="212">
        <v>0</v>
      </c>
      <c r="F8" s="212">
        <v>1</v>
      </c>
      <c r="G8" s="212">
        <v>0</v>
      </c>
      <c r="H8" s="212">
        <v>1</v>
      </c>
      <c r="I8" s="212">
        <v>1</v>
      </c>
      <c r="J8" s="213">
        <v>0</v>
      </c>
      <c r="K8" s="213">
        <v>0</v>
      </c>
      <c r="L8" s="213">
        <f t="shared" si="0"/>
        <v>0</v>
      </c>
      <c r="M8" s="214">
        <f t="shared" si="1"/>
        <v>0</v>
      </c>
      <c r="N8" s="143">
        <f t="shared" si="2"/>
        <v>0</v>
      </c>
      <c r="O8" s="143">
        <f t="shared" si="3"/>
        <v>0</v>
      </c>
      <c r="P8" s="143">
        <f t="shared" si="9"/>
        <v>0</v>
      </c>
      <c r="Q8" s="143">
        <f t="shared" si="4"/>
        <v>0</v>
      </c>
      <c r="R8" s="143">
        <f t="shared" si="5"/>
        <v>0</v>
      </c>
      <c r="S8" s="143">
        <f t="shared" si="6"/>
        <v>0</v>
      </c>
      <c r="T8" s="143">
        <f t="shared" si="7"/>
        <v>0</v>
      </c>
      <c r="U8" s="143">
        <f t="shared" si="8"/>
        <v>0</v>
      </c>
      <c r="V8" s="29">
        <f t="shared" si="10"/>
        <v>0</v>
      </c>
      <c r="W8" s="29">
        <f t="shared" si="11"/>
        <v>0</v>
      </c>
      <c r="X8" s="30">
        <f t="shared" si="12"/>
        <v>0</v>
      </c>
      <c r="Y8" s="30">
        <f t="shared" si="12"/>
        <v>0</v>
      </c>
      <c r="Z8" s="2"/>
      <c r="AA8" s="3"/>
    </row>
    <row r="9" spans="1:27" ht="54.95" customHeight="1">
      <c r="A9" s="209">
        <v>6</v>
      </c>
      <c r="B9" s="250" t="s">
        <v>474</v>
      </c>
      <c r="C9" s="211">
        <v>0.65</v>
      </c>
      <c r="D9" s="212">
        <v>0</v>
      </c>
      <c r="E9" s="212">
        <v>1</v>
      </c>
      <c r="F9" s="212">
        <v>0</v>
      </c>
      <c r="G9" s="212">
        <v>0</v>
      </c>
      <c r="H9" s="212">
        <v>1</v>
      </c>
      <c r="I9" s="212">
        <v>1</v>
      </c>
      <c r="J9" s="213">
        <v>0</v>
      </c>
      <c r="K9" s="213">
        <v>0</v>
      </c>
      <c r="L9" s="213">
        <f t="shared" si="0"/>
        <v>0</v>
      </c>
      <c r="M9" s="214">
        <f t="shared" si="1"/>
        <v>0</v>
      </c>
      <c r="N9" s="143">
        <f t="shared" si="2"/>
        <v>0</v>
      </c>
      <c r="O9" s="143">
        <f t="shared" si="3"/>
        <v>0</v>
      </c>
      <c r="P9" s="143">
        <f t="shared" si="9"/>
        <v>0</v>
      </c>
      <c r="Q9" s="143">
        <f t="shared" si="4"/>
        <v>0</v>
      </c>
      <c r="R9" s="143">
        <f t="shared" si="5"/>
        <v>0</v>
      </c>
      <c r="S9" s="143">
        <f t="shared" si="6"/>
        <v>0</v>
      </c>
      <c r="T9" s="143">
        <f t="shared" si="7"/>
        <v>0</v>
      </c>
      <c r="U9" s="143">
        <f t="shared" si="8"/>
        <v>0</v>
      </c>
      <c r="V9" s="29">
        <f t="shared" si="10"/>
        <v>0</v>
      </c>
      <c r="W9" s="29">
        <f t="shared" si="11"/>
        <v>0</v>
      </c>
      <c r="X9" s="30">
        <f t="shared" si="12"/>
        <v>0</v>
      </c>
      <c r="Y9" s="30">
        <f t="shared" si="12"/>
        <v>0</v>
      </c>
      <c r="Z9" s="2"/>
      <c r="AA9" s="3"/>
    </row>
    <row r="10" spans="1:27" ht="54.95" customHeight="1">
      <c r="A10" s="209">
        <v>7</v>
      </c>
      <c r="B10" s="250" t="s">
        <v>475</v>
      </c>
      <c r="C10" s="211">
        <v>2</v>
      </c>
      <c r="D10" s="212">
        <v>0</v>
      </c>
      <c r="E10" s="212">
        <v>1</v>
      </c>
      <c r="F10" s="212">
        <v>0</v>
      </c>
      <c r="G10" s="212">
        <v>1</v>
      </c>
      <c r="H10" s="212">
        <v>1</v>
      </c>
      <c r="I10" s="212">
        <v>4</v>
      </c>
      <c r="J10" s="213">
        <v>0</v>
      </c>
      <c r="K10" s="213">
        <v>0</v>
      </c>
      <c r="L10" s="213">
        <f t="shared" si="0"/>
        <v>0</v>
      </c>
      <c r="M10" s="214">
        <f t="shared" si="1"/>
        <v>0</v>
      </c>
      <c r="N10" s="143">
        <f t="shared" si="2"/>
        <v>0</v>
      </c>
      <c r="O10" s="143">
        <f t="shared" si="3"/>
        <v>0</v>
      </c>
      <c r="P10" s="143">
        <f t="shared" si="9"/>
        <v>0</v>
      </c>
      <c r="Q10" s="143">
        <f t="shared" si="4"/>
        <v>0</v>
      </c>
      <c r="R10" s="143">
        <f t="shared" si="5"/>
        <v>0</v>
      </c>
      <c r="S10" s="143">
        <f t="shared" si="6"/>
        <v>0</v>
      </c>
      <c r="T10" s="143">
        <f t="shared" si="7"/>
        <v>0</v>
      </c>
      <c r="U10" s="143">
        <f t="shared" si="8"/>
        <v>0</v>
      </c>
      <c r="V10" s="29">
        <f t="shared" si="10"/>
        <v>0</v>
      </c>
      <c r="W10" s="29">
        <f t="shared" si="11"/>
        <v>0</v>
      </c>
      <c r="X10" s="30">
        <f t="shared" si="12"/>
        <v>0</v>
      </c>
      <c r="Y10" s="30">
        <f t="shared" si="12"/>
        <v>0</v>
      </c>
      <c r="Z10" s="2"/>
      <c r="AA10" s="3"/>
    </row>
    <row r="11" spans="1:27" ht="54.95" customHeight="1">
      <c r="A11" s="209">
        <v>8</v>
      </c>
      <c r="B11" s="250" t="s">
        <v>476</v>
      </c>
      <c r="C11" s="211">
        <v>1.2</v>
      </c>
      <c r="D11" s="212">
        <v>0</v>
      </c>
      <c r="E11" s="212">
        <v>0</v>
      </c>
      <c r="F11" s="212">
        <v>0</v>
      </c>
      <c r="G11" s="212">
        <v>1</v>
      </c>
      <c r="H11" s="212">
        <v>1</v>
      </c>
      <c r="I11" s="212">
        <v>4</v>
      </c>
      <c r="J11" s="213">
        <v>0</v>
      </c>
      <c r="K11" s="213">
        <v>0</v>
      </c>
      <c r="L11" s="213">
        <f t="shared" si="0"/>
        <v>0</v>
      </c>
      <c r="M11" s="214">
        <f t="shared" si="1"/>
        <v>0</v>
      </c>
      <c r="N11" s="143">
        <f t="shared" si="2"/>
        <v>0</v>
      </c>
      <c r="O11" s="143">
        <f t="shared" si="3"/>
        <v>0</v>
      </c>
      <c r="P11" s="143">
        <f t="shared" si="9"/>
        <v>0</v>
      </c>
      <c r="Q11" s="143">
        <f t="shared" si="4"/>
        <v>0</v>
      </c>
      <c r="R11" s="143">
        <f t="shared" si="5"/>
        <v>0</v>
      </c>
      <c r="S11" s="143">
        <f t="shared" si="6"/>
        <v>0</v>
      </c>
      <c r="T11" s="143">
        <f t="shared" si="7"/>
        <v>0</v>
      </c>
      <c r="U11" s="143">
        <f t="shared" si="8"/>
        <v>0</v>
      </c>
      <c r="V11" s="29">
        <f t="shared" si="10"/>
        <v>0</v>
      </c>
      <c r="W11" s="29">
        <f t="shared" si="11"/>
        <v>0</v>
      </c>
      <c r="X11" s="30">
        <f t="shared" si="12"/>
        <v>0</v>
      </c>
      <c r="Y11" s="30">
        <f t="shared" si="12"/>
        <v>0</v>
      </c>
      <c r="Z11" s="2"/>
      <c r="AA11" s="3"/>
    </row>
    <row r="12" spans="1:27" ht="54.95" customHeight="1">
      <c r="A12" s="209">
        <v>9</v>
      </c>
      <c r="B12" s="250" t="s">
        <v>477</v>
      </c>
      <c r="C12" s="211">
        <v>6</v>
      </c>
      <c r="D12" s="212">
        <v>0</v>
      </c>
      <c r="E12" s="212">
        <v>0</v>
      </c>
      <c r="F12" s="212">
        <v>0</v>
      </c>
      <c r="G12" s="212">
        <v>1</v>
      </c>
      <c r="H12" s="212">
        <v>1</v>
      </c>
      <c r="I12" s="212">
        <v>4</v>
      </c>
      <c r="J12" s="213">
        <v>0</v>
      </c>
      <c r="K12" s="213">
        <v>0</v>
      </c>
      <c r="L12" s="213">
        <f t="shared" si="0"/>
        <v>0</v>
      </c>
      <c r="M12" s="214">
        <f t="shared" si="1"/>
        <v>0</v>
      </c>
      <c r="N12" s="143">
        <f t="shared" si="2"/>
        <v>0</v>
      </c>
      <c r="O12" s="143">
        <f t="shared" si="3"/>
        <v>0</v>
      </c>
      <c r="P12" s="143">
        <f t="shared" si="9"/>
        <v>0</v>
      </c>
      <c r="Q12" s="143">
        <f t="shared" si="4"/>
        <v>0</v>
      </c>
      <c r="R12" s="143">
        <f t="shared" si="5"/>
        <v>0</v>
      </c>
      <c r="S12" s="143">
        <f t="shared" si="6"/>
        <v>0</v>
      </c>
      <c r="T12" s="143">
        <f t="shared" si="7"/>
        <v>0</v>
      </c>
      <c r="U12" s="143">
        <f t="shared" si="8"/>
        <v>0</v>
      </c>
      <c r="V12" s="29">
        <f t="shared" si="10"/>
        <v>0</v>
      </c>
      <c r="W12" s="29">
        <f t="shared" si="11"/>
        <v>0</v>
      </c>
      <c r="X12" s="30">
        <f t="shared" si="12"/>
        <v>0</v>
      </c>
      <c r="Y12" s="30">
        <f t="shared" si="12"/>
        <v>0</v>
      </c>
      <c r="Z12" s="2"/>
      <c r="AA12" s="3"/>
    </row>
    <row r="13" spans="1:27" ht="54.95" customHeight="1">
      <c r="A13" s="209">
        <v>10</v>
      </c>
      <c r="B13" s="250" t="s">
        <v>478</v>
      </c>
      <c r="C13" s="211">
        <v>6</v>
      </c>
      <c r="D13" s="212">
        <v>0</v>
      </c>
      <c r="E13" s="212">
        <v>0</v>
      </c>
      <c r="F13" s="212">
        <v>0</v>
      </c>
      <c r="G13" s="212">
        <v>1</v>
      </c>
      <c r="H13" s="212">
        <v>1</v>
      </c>
      <c r="I13" s="212">
        <v>4</v>
      </c>
      <c r="J13" s="213">
        <v>0</v>
      </c>
      <c r="K13" s="213">
        <v>0</v>
      </c>
      <c r="L13" s="213">
        <f t="shared" si="0"/>
        <v>0</v>
      </c>
      <c r="M13" s="214">
        <f t="shared" si="1"/>
        <v>0</v>
      </c>
      <c r="N13" s="143">
        <f t="shared" si="2"/>
        <v>0</v>
      </c>
      <c r="O13" s="143">
        <f t="shared" si="3"/>
        <v>0</v>
      </c>
      <c r="P13" s="143">
        <f t="shared" si="9"/>
        <v>0</v>
      </c>
      <c r="Q13" s="143">
        <f t="shared" si="4"/>
        <v>0</v>
      </c>
      <c r="R13" s="143">
        <f t="shared" si="5"/>
        <v>0</v>
      </c>
      <c r="S13" s="143">
        <f t="shared" si="6"/>
        <v>0</v>
      </c>
      <c r="T13" s="143">
        <f t="shared" si="7"/>
        <v>0</v>
      </c>
      <c r="U13" s="143">
        <f t="shared" si="8"/>
        <v>0</v>
      </c>
      <c r="V13" s="29">
        <f t="shared" si="10"/>
        <v>0</v>
      </c>
      <c r="W13" s="29">
        <f t="shared" si="11"/>
        <v>0</v>
      </c>
      <c r="X13" s="30">
        <f t="shared" si="12"/>
        <v>0</v>
      </c>
      <c r="Y13" s="30">
        <f t="shared" si="12"/>
        <v>0</v>
      </c>
      <c r="Z13" s="2"/>
      <c r="AA13" s="3"/>
    </row>
    <row r="14" spans="1:27" ht="54.95" customHeight="1">
      <c r="A14" s="209">
        <v>11</v>
      </c>
      <c r="B14" s="250" t="s">
        <v>479</v>
      </c>
      <c r="C14" s="211">
        <v>0.12</v>
      </c>
      <c r="D14" s="212">
        <v>0</v>
      </c>
      <c r="E14" s="212">
        <v>0</v>
      </c>
      <c r="F14" s="212">
        <v>0</v>
      </c>
      <c r="G14" s="212">
        <v>1</v>
      </c>
      <c r="H14" s="212">
        <v>1</v>
      </c>
      <c r="I14" s="212">
        <v>4</v>
      </c>
      <c r="J14" s="213">
        <v>0</v>
      </c>
      <c r="K14" s="213">
        <v>0</v>
      </c>
      <c r="L14" s="213">
        <f t="shared" si="0"/>
        <v>0</v>
      </c>
      <c r="M14" s="214">
        <f t="shared" si="1"/>
        <v>0</v>
      </c>
      <c r="N14" s="143">
        <f t="shared" si="2"/>
        <v>0</v>
      </c>
      <c r="O14" s="143">
        <f t="shared" si="3"/>
        <v>0</v>
      </c>
      <c r="P14" s="143">
        <f t="shared" si="9"/>
        <v>0</v>
      </c>
      <c r="Q14" s="143">
        <f t="shared" si="4"/>
        <v>0</v>
      </c>
      <c r="R14" s="143">
        <f t="shared" si="5"/>
        <v>0</v>
      </c>
      <c r="S14" s="143">
        <f t="shared" si="6"/>
        <v>0</v>
      </c>
      <c r="T14" s="143">
        <f t="shared" si="7"/>
        <v>0</v>
      </c>
      <c r="U14" s="143">
        <f t="shared" si="8"/>
        <v>0</v>
      </c>
      <c r="V14" s="29">
        <f t="shared" si="10"/>
        <v>0</v>
      </c>
      <c r="W14" s="29">
        <f t="shared" si="11"/>
        <v>0</v>
      </c>
      <c r="X14" s="30">
        <f t="shared" si="12"/>
        <v>0</v>
      </c>
      <c r="Y14" s="30">
        <f t="shared" si="12"/>
        <v>0</v>
      </c>
      <c r="Z14" s="2"/>
      <c r="AA14" s="3"/>
    </row>
    <row r="15" spans="1:27" ht="54.95" customHeight="1">
      <c r="A15" s="209">
        <v>12</v>
      </c>
      <c r="B15" s="250" t="s">
        <v>480</v>
      </c>
      <c r="C15" s="211">
        <v>24</v>
      </c>
      <c r="D15" s="212">
        <v>0</v>
      </c>
      <c r="E15" s="212">
        <v>0</v>
      </c>
      <c r="F15" s="212">
        <v>0</v>
      </c>
      <c r="G15" s="212">
        <v>1</v>
      </c>
      <c r="H15" s="212">
        <v>1</v>
      </c>
      <c r="I15" s="212">
        <v>1</v>
      </c>
      <c r="J15" s="213">
        <v>0</v>
      </c>
      <c r="K15" s="213">
        <v>0</v>
      </c>
      <c r="L15" s="213">
        <f t="shared" si="0"/>
        <v>0</v>
      </c>
      <c r="M15" s="214">
        <f t="shared" si="1"/>
        <v>0</v>
      </c>
      <c r="N15" s="143">
        <f t="shared" si="2"/>
        <v>0</v>
      </c>
      <c r="O15" s="143">
        <f t="shared" si="3"/>
        <v>0</v>
      </c>
      <c r="P15" s="143">
        <f t="shared" si="9"/>
        <v>0</v>
      </c>
      <c r="Q15" s="143">
        <f t="shared" si="4"/>
        <v>0</v>
      </c>
      <c r="R15" s="143">
        <f t="shared" si="5"/>
        <v>0</v>
      </c>
      <c r="S15" s="143">
        <f t="shared" si="6"/>
        <v>0</v>
      </c>
      <c r="T15" s="143">
        <f t="shared" si="7"/>
        <v>0</v>
      </c>
      <c r="U15" s="143">
        <f t="shared" si="8"/>
        <v>0</v>
      </c>
      <c r="V15" s="29">
        <f t="shared" si="10"/>
        <v>0</v>
      </c>
      <c r="W15" s="29">
        <f t="shared" si="11"/>
        <v>0</v>
      </c>
      <c r="X15" s="30">
        <f t="shared" si="12"/>
        <v>0</v>
      </c>
      <c r="Y15" s="30">
        <f t="shared" si="12"/>
        <v>0</v>
      </c>
      <c r="Z15" s="2"/>
      <c r="AA15" s="3"/>
    </row>
    <row r="16" spans="1:27" ht="54.95" customHeight="1">
      <c r="A16" s="209">
        <v>13</v>
      </c>
      <c r="B16" s="250" t="s">
        <v>481</v>
      </c>
      <c r="C16" s="211">
        <v>24</v>
      </c>
      <c r="D16" s="212">
        <v>0</v>
      </c>
      <c r="E16" s="212">
        <v>0</v>
      </c>
      <c r="F16" s="212">
        <v>0</v>
      </c>
      <c r="G16" s="212">
        <v>1</v>
      </c>
      <c r="H16" s="212">
        <v>1</v>
      </c>
      <c r="I16" s="212">
        <v>1</v>
      </c>
      <c r="J16" s="213">
        <v>0</v>
      </c>
      <c r="K16" s="213">
        <v>0</v>
      </c>
      <c r="L16" s="213">
        <f t="shared" si="0"/>
        <v>0</v>
      </c>
      <c r="M16" s="214">
        <f t="shared" si="1"/>
        <v>0</v>
      </c>
      <c r="N16" s="143">
        <f t="shared" si="2"/>
        <v>0</v>
      </c>
      <c r="O16" s="143">
        <f t="shared" si="3"/>
        <v>0</v>
      </c>
      <c r="P16" s="143">
        <f t="shared" si="9"/>
        <v>0</v>
      </c>
      <c r="Q16" s="143">
        <f t="shared" si="4"/>
        <v>0</v>
      </c>
      <c r="R16" s="143">
        <f t="shared" si="5"/>
        <v>0</v>
      </c>
      <c r="S16" s="143">
        <f t="shared" si="6"/>
        <v>0</v>
      </c>
      <c r="T16" s="143">
        <f t="shared" si="7"/>
        <v>0</v>
      </c>
      <c r="U16" s="143">
        <f t="shared" si="8"/>
        <v>0</v>
      </c>
      <c r="V16" s="29">
        <f t="shared" si="10"/>
        <v>0</v>
      </c>
      <c r="W16" s="29">
        <f t="shared" si="11"/>
        <v>0</v>
      </c>
      <c r="X16" s="30">
        <f t="shared" si="12"/>
        <v>0</v>
      </c>
      <c r="Y16" s="30">
        <f t="shared" si="12"/>
        <v>0</v>
      </c>
      <c r="Z16" s="2"/>
      <c r="AA16" s="3"/>
    </row>
    <row r="17" spans="1:27" ht="54.95" customHeight="1">
      <c r="A17" s="209">
        <v>14</v>
      </c>
      <c r="B17" s="250" t="s">
        <v>482</v>
      </c>
      <c r="C17" s="211">
        <v>24</v>
      </c>
      <c r="D17" s="212">
        <v>0</v>
      </c>
      <c r="E17" s="212">
        <v>0</v>
      </c>
      <c r="F17" s="212">
        <v>0</v>
      </c>
      <c r="G17" s="212">
        <v>1</v>
      </c>
      <c r="H17" s="212">
        <v>1</v>
      </c>
      <c r="I17" s="212">
        <v>1</v>
      </c>
      <c r="J17" s="213">
        <v>0</v>
      </c>
      <c r="K17" s="213">
        <v>0</v>
      </c>
      <c r="L17" s="213">
        <f t="shared" si="0"/>
        <v>0</v>
      </c>
      <c r="M17" s="214">
        <f t="shared" si="1"/>
        <v>0</v>
      </c>
      <c r="N17" s="143">
        <f t="shared" si="2"/>
        <v>0</v>
      </c>
      <c r="O17" s="143">
        <f t="shared" si="3"/>
        <v>0</v>
      </c>
      <c r="P17" s="143">
        <f t="shared" si="9"/>
        <v>0</v>
      </c>
      <c r="Q17" s="143">
        <f t="shared" si="4"/>
        <v>0</v>
      </c>
      <c r="R17" s="143">
        <f t="shared" si="5"/>
        <v>0</v>
      </c>
      <c r="S17" s="143">
        <f t="shared" si="6"/>
        <v>0</v>
      </c>
      <c r="T17" s="143">
        <f t="shared" si="7"/>
        <v>0</v>
      </c>
      <c r="U17" s="143">
        <f t="shared" si="8"/>
        <v>0</v>
      </c>
      <c r="V17" s="29">
        <f t="shared" si="10"/>
        <v>0</v>
      </c>
      <c r="W17" s="29">
        <f t="shared" si="11"/>
        <v>0</v>
      </c>
      <c r="X17" s="30">
        <f t="shared" si="12"/>
        <v>0</v>
      </c>
      <c r="Y17" s="30">
        <f t="shared" si="12"/>
        <v>0</v>
      </c>
      <c r="Z17" s="2"/>
      <c r="AA17" s="3"/>
    </row>
    <row r="18" spans="1:27" ht="54.95" customHeight="1">
      <c r="A18" s="209">
        <v>15</v>
      </c>
      <c r="B18" s="250" t="s">
        <v>483</v>
      </c>
      <c r="C18" s="211">
        <v>24</v>
      </c>
      <c r="D18" s="212">
        <v>0</v>
      </c>
      <c r="E18" s="212">
        <v>0</v>
      </c>
      <c r="F18" s="212">
        <v>0</v>
      </c>
      <c r="G18" s="212">
        <v>1</v>
      </c>
      <c r="H18" s="212">
        <v>1</v>
      </c>
      <c r="I18" s="212">
        <v>1</v>
      </c>
      <c r="J18" s="213">
        <v>0</v>
      </c>
      <c r="K18" s="213">
        <v>0</v>
      </c>
      <c r="L18" s="213">
        <f t="shared" si="0"/>
        <v>0</v>
      </c>
      <c r="M18" s="214">
        <f t="shared" si="1"/>
        <v>0</v>
      </c>
      <c r="N18" s="143">
        <f t="shared" si="2"/>
        <v>0</v>
      </c>
      <c r="O18" s="143">
        <f t="shared" si="3"/>
        <v>0</v>
      </c>
      <c r="P18" s="143">
        <f t="shared" si="9"/>
        <v>0</v>
      </c>
      <c r="Q18" s="143">
        <f t="shared" si="4"/>
        <v>0</v>
      </c>
      <c r="R18" s="143">
        <f t="shared" si="5"/>
        <v>0</v>
      </c>
      <c r="S18" s="143">
        <f t="shared" si="6"/>
        <v>0</v>
      </c>
      <c r="T18" s="143">
        <f t="shared" si="7"/>
        <v>0</v>
      </c>
      <c r="U18" s="143">
        <f t="shared" si="8"/>
        <v>0</v>
      </c>
      <c r="V18" s="29">
        <f t="shared" si="10"/>
        <v>0</v>
      </c>
      <c r="W18" s="29">
        <f t="shared" si="11"/>
        <v>0</v>
      </c>
      <c r="X18" s="30">
        <f t="shared" si="12"/>
        <v>0</v>
      </c>
      <c r="Y18" s="30">
        <f t="shared" si="12"/>
        <v>0</v>
      </c>
      <c r="Z18" s="2"/>
      <c r="AA18" s="3"/>
    </row>
    <row r="19" spans="1:27" ht="54.95" customHeight="1">
      <c r="A19" s="209">
        <v>16</v>
      </c>
      <c r="B19" s="250" t="s">
        <v>484</v>
      </c>
      <c r="C19" s="211">
        <v>6</v>
      </c>
      <c r="D19" s="212">
        <v>0</v>
      </c>
      <c r="E19" s="212">
        <v>0</v>
      </c>
      <c r="F19" s="212">
        <v>0</v>
      </c>
      <c r="G19" s="212">
        <v>1</v>
      </c>
      <c r="H19" s="212">
        <v>1</v>
      </c>
      <c r="I19" s="212">
        <v>4</v>
      </c>
      <c r="J19" s="213">
        <v>0</v>
      </c>
      <c r="K19" s="213">
        <v>0</v>
      </c>
      <c r="L19" s="213">
        <f t="shared" si="0"/>
        <v>0</v>
      </c>
      <c r="M19" s="214">
        <f t="shared" si="1"/>
        <v>0</v>
      </c>
      <c r="N19" s="143">
        <f t="shared" si="2"/>
        <v>0</v>
      </c>
      <c r="O19" s="143">
        <f t="shared" si="3"/>
        <v>0</v>
      </c>
      <c r="P19" s="143">
        <f t="shared" si="9"/>
        <v>0</v>
      </c>
      <c r="Q19" s="143">
        <f t="shared" si="4"/>
        <v>0</v>
      </c>
      <c r="R19" s="143">
        <f t="shared" si="5"/>
        <v>0</v>
      </c>
      <c r="S19" s="143">
        <f t="shared" si="6"/>
        <v>0</v>
      </c>
      <c r="T19" s="143">
        <f t="shared" si="7"/>
        <v>0</v>
      </c>
      <c r="U19" s="143">
        <f t="shared" si="8"/>
        <v>0</v>
      </c>
      <c r="V19" s="29">
        <f t="shared" si="10"/>
        <v>0</v>
      </c>
      <c r="W19" s="29">
        <f t="shared" si="11"/>
        <v>0</v>
      </c>
      <c r="X19" s="30">
        <f t="shared" si="12"/>
        <v>0</v>
      </c>
      <c r="Y19" s="30">
        <f t="shared" si="12"/>
        <v>0</v>
      </c>
      <c r="Z19" s="2"/>
      <c r="AA19" s="3"/>
    </row>
    <row r="20" spans="1:27" ht="54.95" customHeight="1">
      <c r="A20" s="209">
        <v>17</v>
      </c>
      <c r="B20" s="250" t="s">
        <v>235</v>
      </c>
      <c r="C20" s="211">
        <v>2</v>
      </c>
      <c r="D20" s="212">
        <v>0</v>
      </c>
      <c r="E20" s="212">
        <v>0</v>
      </c>
      <c r="F20" s="212">
        <v>0</v>
      </c>
      <c r="G20" s="212">
        <v>1</v>
      </c>
      <c r="H20" s="212">
        <v>1</v>
      </c>
      <c r="I20" s="212">
        <v>4</v>
      </c>
      <c r="J20" s="213">
        <v>0</v>
      </c>
      <c r="K20" s="213">
        <v>0</v>
      </c>
      <c r="L20" s="213">
        <f t="shared" si="0"/>
        <v>0</v>
      </c>
      <c r="M20" s="214">
        <f t="shared" si="1"/>
        <v>0</v>
      </c>
      <c r="N20" s="143">
        <f t="shared" si="2"/>
        <v>0</v>
      </c>
      <c r="O20" s="143">
        <f t="shared" si="3"/>
        <v>0</v>
      </c>
      <c r="P20" s="143">
        <f t="shared" si="9"/>
        <v>0</v>
      </c>
      <c r="Q20" s="143">
        <f t="shared" si="4"/>
        <v>0</v>
      </c>
      <c r="R20" s="143">
        <f t="shared" si="5"/>
        <v>0</v>
      </c>
      <c r="S20" s="143">
        <f t="shared" si="6"/>
        <v>0</v>
      </c>
      <c r="T20" s="143">
        <f t="shared" si="7"/>
        <v>0</v>
      </c>
      <c r="U20" s="143">
        <f t="shared" si="8"/>
        <v>0</v>
      </c>
      <c r="V20" s="29">
        <f t="shared" si="10"/>
        <v>0</v>
      </c>
      <c r="W20" s="29">
        <f t="shared" si="11"/>
        <v>0</v>
      </c>
      <c r="X20" s="30">
        <f t="shared" si="12"/>
        <v>0</v>
      </c>
      <c r="Y20" s="30">
        <f t="shared" si="12"/>
        <v>0</v>
      </c>
      <c r="Z20" s="2"/>
      <c r="AA20" s="3"/>
    </row>
    <row r="21" spans="1:27" s="130" customFormat="1" ht="54.95" customHeight="1">
      <c r="A21" s="209">
        <v>18</v>
      </c>
      <c r="B21" s="250" t="s">
        <v>236</v>
      </c>
      <c r="C21" s="211">
        <v>2</v>
      </c>
      <c r="D21" s="212">
        <v>0</v>
      </c>
      <c r="E21" s="212">
        <v>0</v>
      </c>
      <c r="F21" s="212">
        <v>0</v>
      </c>
      <c r="G21" s="212">
        <v>1</v>
      </c>
      <c r="H21" s="212">
        <v>1</v>
      </c>
      <c r="I21" s="212">
        <v>4</v>
      </c>
      <c r="J21" s="213">
        <v>0</v>
      </c>
      <c r="K21" s="213">
        <v>0</v>
      </c>
      <c r="L21" s="213">
        <f t="shared" si="0"/>
        <v>0</v>
      </c>
      <c r="M21" s="214">
        <f t="shared" si="1"/>
        <v>0</v>
      </c>
      <c r="N21" s="143">
        <f t="shared" si="2"/>
        <v>0</v>
      </c>
      <c r="O21" s="143">
        <f t="shared" si="3"/>
        <v>0</v>
      </c>
      <c r="P21" s="143">
        <f t="shared" si="9"/>
        <v>0</v>
      </c>
      <c r="Q21" s="143">
        <f t="shared" si="4"/>
        <v>0</v>
      </c>
      <c r="R21" s="143">
        <f t="shared" si="5"/>
        <v>0</v>
      </c>
      <c r="S21" s="143">
        <f t="shared" si="6"/>
        <v>0</v>
      </c>
      <c r="T21" s="143">
        <f t="shared" si="7"/>
        <v>0</v>
      </c>
      <c r="U21" s="143">
        <f t="shared" si="8"/>
        <v>0</v>
      </c>
      <c r="V21" s="29">
        <f t="shared" si="10"/>
        <v>0</v>
      </c>
      <c r="W21" s="29">
        <f t="shared" si="11"/>
        <v>0</v>
      </c>
      <c r="X21" s="30">
        <f t="shared" si="12"/>
        <v>0</v>
      </c>
      <c r="Y21" s="30">
        <f t="shared" si="12"/>
        <v>0</v>
      </c>
    </row>
    <row r="22" spans="1:27" s="130" customFormat="1" ht="54.95" customHeight="1">
      <c r="A22" s="209">
        <v>19</v>
      </c>
      <c r="B22" s="250" t="s">
        <v>245</v>
      </c>
      <c r="C22" s="211">
        <v>1.1999999999999999E-3</v>
      </c>
      <c r="D22" s="212">
        <v>0</v>
      </c>
      <c r="E22" s="212">
        <v>0</v>
      </c>
      <c r="F22" s="212">
        <v>0</v>
      </c>
      <c r="G22" s="212">
        <v>1</v>
      </c>
      <c r="H22" s="212">
        <v>1</v>
      </c>
      <c r="I22" s="212">
        <v>4</v>
      </c>
      <c r="J22" s="213">
        <v>0</v>
      </c>
      <c r="K22" s="213">
        <v>0</v>
      </c>
      <c r="L22" s="213">
        <f t="shared" si="0"/>
        <v>0</v>
      </c>
      <c r="M22" s="214">
        <f t="shared" si="1"/>
        <v>0</v>
      </c>
      <c r="N22" s="143">
        <f t="shared" si="2"/>
        <v>0</v>
      </c>
      <c r="O22" s="143">
        <f t="shared" si="3"/>
        <v>0</v>
      </c>
      <c r="P22" s="143">
        <f t="shared" si="9"/>
        <v>0</v>
      </c>
      <c r="Q22" s="143">
        <f t="shared" si="4"/>
        <v>0</v>
      </c>
      <c r="R22" s="143">
        <f t="shared" si="5"/>
        <v>0</v>
      </c>
      <c r="S22" s="143">
        <f t="shared" si="6"/>
        <v>0</v>
      </c>
      <c r="T22" s="143">
        <f t="shared" si="7"/>
        <v>0</v>
      </c>
      <c r="U22" s="143">
        <f t="shared" si="8"/>
        <v>0</v>
      </c>
      <c r="V22" s="29">
        <f t="shared" si="10"/>
        <v>0</v>
      </c>
      <c r="W22" s="29">
        <f t="shared" si="11"/>
        <v>0</v>
      </c>
      <c r="X22" s="30">
        <f t="shared" si="12"/>
        <v>0</v>
      </c>
      <c r="Y22" s="30">
        <f t="shared" si="12"/>
        <v>0</v>
      </c>
    </row>
    <row r="23" spans="1:27" s="130" customFormat="1" ht="54.95" customHeight="1">
      <c r="A23" s="209">
        <v>20</v>
      </c>
      <c r="B23" s="250" t="s">
        <v>246</v>
      </c>
      <c r="C23" s="211">
        <v>6.0000000000000001E-3</v>
      </c>
      <c r="D23" s="212">
        <v>0</v>
      </c>
      <c r="E23" s="212">
        <v>0</v>
      </c>
      <c r="F23" s="212">
        <v>0</v>
      </c>
      <c r="G23" s="212">
        <v>1</v>
      </c>
      <c r="H23" s="212">
        <v>1</v>
      </c>
      <c r="I23" s="212">
        <v>4</v>
      </c>
      <c r="J23" s="213">
        <v>0</v>
      </c>
      <c r="K23" s="213">
        <v>0</v>
      </c>
      <c r="L23" s="213">
        <f t="shared" si="0"/>
        <v>0</v>
      </c>
      <c r="M23" s="214">
        <f t="shared" si="1"/>
        <v>0</v>
      </c>
      <c r="N23" s="143">
        <f t="shared" si="2"/>
        <v>0</v>
      </c>
      <c r="O23" s="143">
        <f t="shared" si="3"/>
        <v>0</v>
      </c>
      <c r="P23" s="143">
        <f t="shared" si="9"/>
        <v>0</v>
      </c>
      <c r="Q23" s="143">
        <f t="shared" si="4"/>
        <v>0</v>
      </c>
      <c r="R23" s="143">
        <f t="shared" si="5"/>
        <v>0</v>
      </c>
      <c r="S23" s="143">
        <f t="shared" si="6"/>
        <v>0</v>
      </c>
      <c r="T23" s="143">
        <f t="shared" si="7"/>
        <v>0</v>
      </c>
      <c r="U23" s="143">
        <f t="shared" si="8"/>
        <v>0</v>
      </c>
      <c r="V23" s="29">
        <f t="shared" si="10"/>
        <v>0</v>
      </c>
      <c r="W23" s="29">
        <f t="shared" si="11"/>
        <v>0</v>
      </c>
      <c r="X23" s="30">
        <f t="shared" si="12"/>
        <v>0</v>
      </c>
      <c r="Y23" s="30">
        <f t="shared" si="12"/>
        <v>0</v>
      </c>
    </row>
    <row r="24" spans="1:27" s="130" customFormat="1" ht="54.95" customHeight="1">
      <c r="A24" s="209">
        <v>21</v>
      </c>
      <c r="B24" s="250" t="s">
        <v>247</v>
      </c>
      <c r="C24" s="211">
        <v>8.0000000000000002E-3</v>
      </c>
      <c r="D24" s="212">
        <v>0</v>
      </c>
      <c r="E24" s="212">
        <v>0</v>
      </c>
      <c r="F24" s="212">
        <v>0</v>
      </c>
      <c r="G24" s="212">
        <v>1</v>
      </c>
      <c r="H24" s="212">
        <v>1</v>
      </c>
      <c r="I24" s="212">
        <v>4</v>
      </c>
      <c r="J24" s="213">
        <v>0</v>
      </c>
      <c r="K24" s="213">
        <v>0</v>
      </c>
      <c r="L24" s="213">
        <f t="shared" si="0"/>
        <v>0</v>
      </c>
      <c r="M24" s="214">
        <f t="shared" si="1"/>
        <v>0</v>
      </c>
      <c r="N24" s="143">
        <f t="shared" si="2"/>
        <v>0</v>
      </c>
      <c r="O24" s="143">
        <f t="shared" si="3"/>
        <v>0</v>
      </c>
      <c r="P24" s="143">
        <f t="shared" si="9"/>
        <v>0</v>
      </c>
      <c r="Q24" s="143">
        <f t="shared" si="4"/>
        <v>0</v>
      </c>
      <c r="R24" s="143">
        <f t="shared" si="5"/>
        <v>0</v>
      </c>
      <c r="S24" s="143">
        <f t="shared" si="6"/>
        <v>0</v>
      </c>
      <c r="T24" s="143">
        <f t="shared" si="7"/>
        <v>0</v>
      </c>
      <c r="U24" s="143">
        <f t="shared" si="8"/>
        <v>0</v>
      </c>
      <c r="V24" s="29">
        <f t="shared" si="10"/>
        <v>0</v>
      </c>
      <c r="W24" s="29">
        <f t="shared" si="11"/>
        <v>0</v>
      </c>
      <c r="X24" s="30">
        <f t="shared" si="12"/>
        <v>0</v>
      </c>
      <c r="Y24" s="30">
        <f t="shared" si="12"/>
        <v>0</v>
      </c>
    </row>
    <row r="25" spans="1:27" ht="54.95" customHeight="1">
      <c r="A25" s="209">
        <v>22</v>
      </c>
      <c r="B25" s="250" t="s">
        <v>451</v>
      </c>
      <c r="C25" s="211">
        <v>0.6</v>
      </c>
      <c r="D25" s="212">
        <v>0</v>
      </c>
      <c r="E25" s="212">
        <v>1</v>
      </c>
      <c r="F25" s="212">
        <v>0</v>
      </c>
      <c r="G25" s="212">
        <v>0</v>
      </c>
      <c r="H25" s="212">
        <v>1</v>
      </c>
      <c r="I25" s="212">
        <v>2</v>
      </c>
      <c r="J25" s="213">
        <v>0</v>
      </c>
      <c r="K25" s="213">
        <v>0</v>
      </c>
      <c r="L25" s="213">
        <f t="shared" si="0"/>
        <v>0</v>
      </c>
      <c r="M25" s="214">
        <f t="shared" si="1"/>
        <v>0</v>
      </c>
      <c r="N25" s="143">
        <f t="shared" si="2"/>
        <v>0</v>
      </c>
      <c r="O25" s="143">
        <f t="shared" si="3"/>
        <v>0</v>
      </c>
      <c r="P25" s="143">
        <f t="shared" si="9"/>
        <v>0</v>
      </c>
      <c r="Q25" s="143">
        <f t="shared" si="4"/>
        <v>0</v>
      </c>
      <c r="R25" s="143">
        <f t="shared" si="5"/>
        <v>0</v>
      </c>
      <c r="S25" s="143">
        <f t="shared" si="6"/>
        <v>0</v>
      </c>
      <c r="T25" s="143">
        <f t="shared" si="7"/>
        <v>0</v>
      </c>
      <c r="U25" s="143">
        <f t="shared" si="8"/>
        <v>0</v>
      </c>
      <c r="V25" s="29">
        <f t="shared" si="10"/>
        <v>0</v>
      </c>
      <c r="W25" s="29">
        <f t="shared" si="11"/>
        <v>0</v>
      </c>
      <c r="X25" s="30">
        <f t="shared" si="12"/>
        <v>0</v>
      </c>
      <c r="Y25" s="30">
        <f t="shared" si="12"/>
        <v>0</v>
      </c>
      <c r="Z25" s="2"/>
      <c r="AA25" s="3"/>
    </row>
    <row r="26" spans="1:27" ht="54.95" customHeight="1">
      <c r="A26" s="209">
        <v>23</v>
      </c>
      <c r="B26" s="250" t="s">
        <v>452</v>
      </c>
      <c r="C26" s="211">
        <v>0.4</v>
      </c>
      <c r="D26" s="212">
        <v>0</v>
      </c>
      <c r="E26" s="212">
        <v>1</v>
      </c>
      <c r="F26" s="212">
        <v>0</v>
      </c>
      <c r="G26" s="212">
        <v>0</v>
      </c>
      <c r="H26" s="212">
        <v>1</v>
      </c>
      <c r="I26" s="212">
        <v>2</v>
      </c>
      <c r="J26" s="213">
        <v>0</v>
      </c>
      <c r="K26" s="213">
        <v>0</v>
      </c>
      <c r="L26" s="213">
        <f t="shared" si="0"/>
        <v>0</v>
      </c>
      <c r="M26" s="214">
        <f t="shared" si="1"/>
        <v>0</v>
      </c>
      <c r="N26" s="143">
        <f t="shared" si="2"/>
        <v>0</v>
      </c>
      <c r="O26" s="143">
        <f t="shared" si="3"/>
        <v>0</v>
      </c>
      <c r="P26" s="143">
        <f t="shared" si="9"/>
        <v>0</v>
      </c>
      <c r="Q26" s="143">
        <f t="shared" si="4"/>
        <v>0</v>
      </c>
      <c r="R26" s="143">
        <f t="shared" si="5"/>
        <v>0</v>
      </c>
      <c r="S26" s="143">
        <f t="shared" si="6"/>
        <v>0</v>
      </c>
      <c r="T26" s="143">
        <f t="shared" si="7"/>
        <v>0</v>
      </c>
      <c r="U26" s="143">
        <f t="shared" si="8"/>
        <v>0</v>
      </c>
      <c r="V26" s="29">
        <f t="shared" si="10"/>
        <v>0</v>
      </c>
      <c r="W26" s="29">
        <f t="shared" si="11"/>
        <v>0</v>
      </c>
      <c r="X26" s="30">
        <f t="shared" si="12"/>
        <v>0</v>
      </c>
      <c r="Y26" s="30">
        <f t="shared" si="12"/>
        <v>0</v>
      </c>
      <c r="Z26" s="2"/>
      <c r="AA26" s="3"/>
    </row>
    <row r="27" spans="1:27" ht="54.95" customHeight="1">
      <c r="A27" s="209">
        <v>24</v>
      </c>
      <c r="B27" s="250" t="s">
        <v>1355</v>
      </c>
      <c r="C27" s="211">
        <v>0.4</v>
      </c>
      <c r="D27" s="212">
        <v>0</v>
      </c>
      <c r="E27" s="212">
        <v>1</v>
      </c>
      <c r="F27" s="212">
        <v>0</v>
      </c>
      <c r="G27" s="212">
        <v>0</v>
      </c>
      <c r="H27" s="212">
        <v>1</v>
      </c>
      <c r="I27" s="212">
        <v>2</v>
      </c>
      <c r="J27" s="213">
        <v>0</v>
      </c>
      <c r="K27" s="213">
        <v>0</v>
      </c>
      <c r="L27" s="213">
        <f t="shared" si="0"/>
        <v>0</v>
      </c>
      <c r="M27" s="214">
        <f t="shared" si="1"/>
        <v>0</v>
      </c>
      <c r="N27" s="143">
        <f t="shared" si="2"/>
        <v>0</v>
      </c>
      <c r="O27" s="143">
        <f t="shared" si="3"/>
        <v>0</v>
      </c>
      <c r="P27" s="143">
        <f t="shared" si="9"/>
        <v>0</v>
      </c>
      <c r="Q27" s="143">
        <f t="shared" si="4"/>
        <v>0</v>
      </c>
      <c r="R27" s="143">
        <f t="shared" si="5"/>
        <v>0</v>
      </c>
      <c r="S27" s="143">
        <f t="shared" si="6"/>
        <v>0</v>
      </c>
      <c r="T27" s="143">
        <f t="shared" si="7"/>
        <v>0</v>
      </c>
      <c r="U27" s="143">
        <f t="shared" si="8"/>
        <v>0</v>
      </c>
      <c r="V27" s="29">
        <f t="shared" si="10"/>
        <v>0</v>
      </c>
      <c r="W27" s="29">
        <f t="shared" si="11"/>
        <v>0</v>
      </c>
      <c r="X27" s="30">
        <f t="shared" si="12"/>
        <v>0</v>
      </c>
      <c r="Y27" s="30">
        <f t="shared" si="12"/>
        <v>0</v>
      </c>
      <c r="Z27" s="2"/>
      <c r="AA27" s="3"/>
    </row>
    <row r="28" spans="1:27" ht="54.95" customHeight="1">
      <c r="A28" s="209">
        <v>25</v>
      </c>
      <c r="B28" s="250" t="s">
        <v>1356</v>
      </c>
      <c r="C28" s="211">
        <v>0.3</v>
      </c>
      <c r="D28" s="212">
        <v>0</v>
      </c>
      <c r="E28" s="212">
        <v>1</v>
      </c>
      <c r="F28" s="212">
        <v>0</v>
      </c>
      <c r="G28" s="212">
        <v>0</v>
      </c>
      <c r="H28" s="212">
        <v>1</v>
      </c>
      <c r="I28" s="212">
        <v>2</v>
      </c>
      <c r="J28" s="213">
        <v>0</v>
      </c>
      <c r="K28" s="213">
        <v>0</v>
      </c>
      <c r="L28" s="213">
        <f t="shared" si="0"/>
        <v>0</v>
      </c>
      <c r="M28" s="214">
        <f t="shared" si="1"/>
        <v>0</v>
      </c>
      <c r="N28" s="143">
        <f t="shared" si="2"/>
        <v>0</v>
      </c>
      <c r="O28" s="143">
        <f t="shared" si="3"/>
        <v>0</v>
      </c>
      <c r="P28" s="143">
        <f t="shared" si="9"/>
        <v>0</v>
      </c>
      <c r="Q28" s="143">
        <f t="shared" si="4"/>
        <v>0</v>
      </c>
      <c r="R28" s="143">
        <f t="shared" si="5"/>
        <v>0</v>
      </c>
      <c r="S28" s="143">
        <f t="shared" si="6"/>
        <v>0</v>
      </c>
      <c r="T28" s="143">
        <f t="shared" si="7"/>
        <v>0</v>
      </c>
      <c r="U28" s="143">
        <f t="shared" si="8"/>
        <v>0</v>
      </c>
      <c r="V28" s="29">
        <f t="shared" si="10"/>
        <v>0</v>
      </c>
      <c r="W28" s="29">
        <f t="shared" si="11"/>
        <v>0</v>
      </c>
      <c r="X28" s="30">
        <f t="shared" si="12"/>
        <v>0</v>
      </c>
      <c r="Y28" s="30">
        <f t="shared" si="12"/>
        <v>0</v>
      </c>
      <c r="Z28" s="2"/>
      <c r="AA28" s="3"/>
    </row>
    <row r="29" spans="1:27" ht="54.95" customHeight="1">
      <c r="A29" s="209">
        <v>26</v>
      </c>
      <c r="B29" s="250" t="s">
        <v>485</v>
      </c>
      <c r="C29" s="211">
        <v>0.3</v>
      </c>
      <c r="D29" s="212">
        <v>0</v>
      </c>
      <c r="E29" s="212">
        <v>0</v>
      </c>
      <c r="F29" s="212">
        <v>1</v>
      </c>
      <c r="G29" s="212">
        <v>0</v>
      </c>
      <c r="H29" s="212">
        <v>1</v>
      </c>
      <c r="I29" s="212">
        <v>1</v>
      </c>
      <c r="J29" s="213">
        <v>0</v>
      </c>
      <c r="K29" s="213">
        <v>0</v>
      </c>
      <c r="L29" s="213">
        <f t="shared" si="0"/>
        <v>0</v>
      </c>
      <c r="M29" s="214">
        <f t="shared" si="1"/>
        <v>0</v>
      </c>
      <c r="N29" s="143">
        <f t="shared" si="2"/>
        <v>0</v>
      </c>
      <c r="O29" s="143">
        <f t="shared" si="3"/>
        <v>0</v>
      </c>
      <c r="P29" s="143">
        <f t="shared" si="9"/>
        <v>0</v>
      </c>
      <c r="Q29" s="143">
        <f t="shared" si="4"/>
        <v>0</v>
      </c>
      <c r="R29" s="143">
        <f t="shared" si="5"/>
        <v>0</v>
      </c>
      <c r="S29" s="143">
        <f t="shared" si="6"/>
        <v>0</v>
      </c>
      <c r="T29" s="143">
        <f t="shared" si="7"/>
        <v>0</v>
      </c>
      <c r="U29" s="143">
        <f t="shared" si="8"/>
        <v>0</v>
      </c>
      <c r="V29" s="29">
        <f t="shared" si="10"/>
        <v>0</v>
      </c>
      <c r="W29" s="29">
        <f t="shared" si="11"/>
        <v>0</v>
      </c>
      <c r="X29" s="30">
        <f t="shared" si="12"/>
        <v>0</v>
      </c>
      <c r="Y29" s="30">
        <f t="shared" si="12"/>
        <v>0</v>
      </c>
      <c r="Z29" s="2"/>
      <c r="AA29" s="3"/>
    </row>
    <row r="30" spans="1:27" ht="54.95" customHeight="1">
      <c r="A30" s="209">
        <v>27</v>
      </c>
      <c r="B30" s="250" t="s">
        <v>486</v>
      </c>
      <c r="C30" s="211">
        <v>0.5</v>
      </c>
      <c r="D30" s="212">
        <v>0</v>
      </c>
      <c r="E30" s="212">
        <v>0</v>
      </c>
      <c r="F30" s="212">
        <v>1</v>
      </c>
      <c r="G30" s="212">
        <v>0</v>
      </c>
      <c r="H30" s="212">
        <v>1</v>
      </c>
      <c r="I30" s="212">
        <v>1</v>
      </c>
      <c r="J30" s="213">
        <v>0</v>
      </c>
      <c r="K30" s="213">
        <v>0</v>
      </c>
      <c r="L30" s="213">
        <f t="shared" si="0"/>
        <v>0</v>
      </c>
      <c r="M30" s="214">
        <f t="shared" si="1"/>
        <v>0</v>
      </c>
      <c r="N30" s="143">
        <f t="shared" si="2"/>
        <v>0</v>
      </c>
      <c r="O30" s="143">
        <f t="shared" si="3"/>
        <v>0</v>
      </c>
      <c r="P30" s="143">
        <f t="shared" si="9"/>
        <v>0</v>
      </c>
      <c r="Q30" s="143">
        <f t="shared" si="4"/>
        <v>0</v>
      </c>
      <c r="R30" s="143">
        <f t="shared" si="5"/>
        <v>0</v>
      </c>
      <c r="S30" s="143">
        <f t="shared" si="6"/>
        <v>0</v>
      </c>
      <c r="T30" s="143">
        <f t="shared" si="7"/>
        <v>0</v>
      </c>
      <c r="U30" s="143">
        <f t="shared" si="8"/>
        <v>0</v>
      </c>
      <c r="V30" s="29">
        <f t="shared" si="10"/>
        <v>0</v>
      </c>
      <c r="W30" s="29">
        <f t="shared" si="11"/>
        <v>0</v>
      </c>
      <c r="X30" s="30">
        <f t="shared" si="12"/>
        <v>0</v>
      </c>
      <c r="Y30" s="30">
        <f t="shared" si="12"/>
        <v>0</v>
      </c>
      <c r="Z30" s="2"/>
      <c r="AA30" s="3"/>
    </row>
    <row r="31" spans="1:27" ht="54.95" customHeight="1">
      <c r="A31" s="209">
        <v>28</v>
      </c>
      <c r="B31" s="250" t="s">
        <v>487</v>
      </c>
      <c r="C31" s="211">
        <v>1.2</v>
      </c>
      <c r="D31" s="212">
        <v>0</v>
      </c>
      <c r="E31" s="212">
        <v>0</v>
      </c>
      <c r="F31" s="212">
        <v>1</v>
      </c>
      <c r="G31" s="212">
        <v>0</v>
      </c>
      <c r="H31" s="212">
        <v>1</v>
      </c>
      <c r="I31" s="212">
        <v>1</v>
      </c>
      <c r="J31" s="213">
        <v>0</v>
      </c>
      <c r="K31" s="213">
        <v>0</v>
      </c>
      <c r="L31" s="213">
        <f t="shared" si="0"/>
        <v>0</v>
      </c>
      <c r="M31" s="214">
        <f t="shared" si="1"/>
        <v>0</v>
      </c>
      <c r="N31" s="143">
        <f t="shared" si="2"/>
        <v>0</v>
      </c>
      <c r="O31" s="143">
        <f t="shared" si="3"/>
        <v>0</v>
      </c>
      <c r="P31" s="143">
        <f t="shared" si="9"/>
        <v>0</v>
      </c>
      <c r="Q31" s="143">
        <f t="shared" si="4"/>
        <v>0</v>
      </c>
      <c r="R31" s="143">
        <f t="shared" si="5"/>
        <v>0</v>
      </c>
      <c r="S31" s="143">
        <f t="shared" si="6"/>
        <v>0</v>
      </c>
      <c r="T31" s="143">
        <f t="shared" si="7"/>
        <v>0</v>
      </c>
      <c r="U31" s="143">
        <f t="shared" si="8"/>
        <v>0</v>
      </c>
      <c r="V31" s="29">
        <f t="shared" si="10"/>
        <v>0</v>
      </c>
      <c r="W31" s="29">
        <f t="shared" si="11"/>
        <v>0</v>
      </c>
      <c r="X31" s="30">
        <f t="shared" si="12"/>
        <v>0</v>
      </c>
      <c r="Y31" s="30">
        <f t="shared" si="12"/>
        <v>0</v>
      </c>
      <c r="Z31" s="2"/>
      <c r="AA31" s="3"/>
    </row>
    <row r="32" spans="1:27" ht="54.95" customHeight="1">
      <c r="A32" s="209">
        <v>29</v>
      </c>
      <c r="B32" s="250" t="s">
        <v>488</v>
      </c>
      <c r="C32" s="211">
        <v>0.75</v>
      </c>
      <c r="D32" s="212">
        <v>0</v>
      </c>
      <c r="E32" s="212">
        <v>0</v>
      </c>
      <c r="F32" s="212">
        <v>1</v>
      </c>
      <c r="G32" s="212">
        <v>0</v>
      </c>
      <c r="H32" s="212">
        <v>1</v>
      </c>
      <c r="I32" s="212">
        <v>1</v>
      </c>
      <c r="J32" s="213">
        <v>0</v>
      </c>
      <c r="K32" s="213">
        <v>0</v>
      </c>
      <c r="L32" s="213">
        <f t="shared" si="0"/>
        <v>0</v>
      </c>
      <c r="M32" s="214">
        <f t="shared" si="1"/>
        <v>0</v>
      </c>
      <c r="N32" s="143">
        <f t="shared" si="2"/>
        <v>0</v>
      </c>
      <c r="O32" s="143">
        <f t="shared" si="3"/>
        <v>0</v>
      </c>
      <c r="P32" s="143">
        <f t="shared" si="9"/>
        <v>0</v>
      </c>
      <c r="Q32" s="143">
        <f t="shared" si="4"/>
        <v>0</v>
      </c>
      <c r="R32" s="143">
        <f t="shared" si="5"/>
        <v>0</v>
      </c>
      <c r="S32" s="143">
        <f t="shared" si="6"/>
        <v>0</v>
      </c>
      <c r="T32" s="143">
        <f t="shared" si="7"/>
        <v>0</v>
      </c>
      <c r="U32" s="143">
        <f t="shared" si="8"/>
        <v>0</v>
      </c>
      <c r="V32" s="29">
        <f t="shared" si="10"/>
        <v>0</v>
      </c>
      <c r="W32" s="29">
        <f t="shared" si="11"/>
        <v>0</v>
      </c>
      <c r="X32" s="30">
        <f t="shared" si="12"/>
        <v>0</v>
      </c>
      <c r="Y32" s="30">
        <f t="shared" si="12"/>
        <v>0</v>
      </c>
      <c r="Z32" s="2"/>
      <c r="AA32" s="3"/>
    </row>
    <row r="33" spans="1:27" ht="54.95" customHeight="1">
      <c r="A33" s="209">
        <v>30</v>
      </c>
      <c r="B33" s="250" t="s">
        <v>489</v>
      </c>
      <c r="C33" s="211">
        <v>1.1000000000000001</v>
      </c>
      <c r="D33" s="212">
        <v>0</v>
      </c>
      <c r="E33" s="212">
        <v>0</v>
      </c>
      <c r="F33" s="212">
        <v>1</v>
      </c>
      <c r="G33" s="212">
        <v>0</v>
      </c>
      <c r="H33" s="212">
        <v>1</v>
      </c>
      <c r="I33" s="212">
        <v>1</v>
      </c>
      <c r="J33" s="213">
        <v>0</v>
      </c>
      <c r="K33" s="213">
        <v>0</v>
      </c>
      <c r="L33" s="213">
        <f t="shared" si="0"/>
        <v>0</v>
      </c>
      <c r="M33" s="214">
        <f t="shared" si="1"/>
        <v>0</v>
      </c>
      <c r="N33" s="143">
        <f t="shared" si="2"/>
        <v>0</v>
      </c>
      <c r="O33" s="143">
        <f t="shared" si="3"/>
        <v>0</v>
      </c>
      <c r="P33" s="143">
        <f t="shared" si="9"/>
        <v>0</v>
      </c>
      <c r="Q33" s="143">
        <f t="shared" si="4"/>
        <v>0</v>
      </c>
      <c r="R33" s="143">
        <f t="shared" si="5"/>
        <v>0</v>
      </c>
      <c r="S33" s="143">
        <f t="shared" si="6"/>
        <v>0</v>
      </c>
      <c r="T33" s="143">
        <f t="shared" si="7"/>
        <v>0</v>
      </c>
      <c r="U33" s="143">
        <f t="shared" si="8"/>
        <v>0</v>
      </c>
      <c r="V33" s="29">
        <f t="shared" si="10"/>
        <v>0</v>
      </c>
      <c r="W33" s="29">
        <f t="shared" si="11"/>
        <v>0</v>
      </c>
      <c r="X33" s="30">
        <f t="shared" si="12"/>
        <v>0</v>
      </c>
      <c r="Y33" s="30">
        <f t="shared" si="12"/>
        <v>0</v>
      </c>
      <c r="Z33" s="2"/>
      <c r="AA33" s="3"/>
    </row>
    <row r="34" spans="1:27" ht="54.95" customHeight="1">
      <c r="A34" s="209">
        <v>31</v>
      </c>
      <c r="B34" s="250" t="s">
        <v>490</v>
      </c>
      <c r="C34" s="211">
        <v>0.75</v>
      </c>
      <c r="D34" s="212">
        <v>0</v>
      </c>
      <c r="E34" s="212">
        <v>1</v>
      </c>
      <c r="F34" s="212">
        <v>0</v>
      </c>
      <c r="G34" s="212">
        <v>0</v>
      </c>
      <c r="H34" s="212">
        <v>1</v>
      </c>
      <c r="I34" s="212">
        <v>1</v>
      </c>
      <c r="J34" s="213">
        <v>0</v>
      </c>
      <c r="K34" s="213">
        <v>0</v>
      </c>
      <c r="L34" s="213">
        <f t="shared" si="0"/>
        <v>0</v>
      </c>
      <c r="M34" s="214">
        <f t="shared" si="1"/>
        <v>0</v>
      </c>
      <c r="N34" s="143">
        <f t="shared" si="2"/>
        <v>0</v>
      </c>
      <c r="O34" s="143">
        <f t="shared" si="3"/>
        <v>0</v>
      </c>
      <c r="P34" s="143">
        <f t="shared" si="9"/>
        <v>0</v>
      </c>
      <c r="Q34" s="143">
        <f t="shared" si="4"/>
        <v>0</v>
      </c>
      <c r="R34" s="143">
        <f t="shared" si="5"/>
        <v>0</v>
      </c>
      <c r="S34" s="143">
        <f t="shared" si="6"/>
        <v>0</v>
      </c>
      <c r="T34" s="143">
        <f t="shared" si="7"/>
        <v>0</v>
      </c>
      <c r="U34" s="143">
        <f t="shared" si="8"/>
        <v>0</v>
      </c>
      <c r="V34" s="29">
        <f t="shared" si="10"/>
        <v>0</v>
      </c>
      <c r="W34" s="29">
        <f t="shared" si="11"/>
        <v>0</v>
      </c>
      <c r="X34" s="30">
        <f t="shared" si="12"/>
        <v>0</v>
      </c>
      <c r="Y34" s="30">
        <f t="shared" si="12"/>
        <v>0</v>
      </c>
      <c r="Z34" s="2"/>
      <c r="AA34" s="3"/>
    </row>
    <row r="35" spans="1:27" ht="54.95" customHeight="1">
      <c r="A35" s="209">
        <v>32</v>
      </c>
      <c r="B35" s="250" t="s">
        <v>491</v>
      </c>
      <c r="C35" s="211">
        <v>2.5</v>
      </c>
      <c r="D35" s="212">
        <v>0</v>
      </c>
      <c r="E35" s="212">
        <v>1</v>
      </c>
      <c r="F35" s="212">
        <v>0</v>
      </c>
      <c r="G35" s="212">
        <v>1</v>
      </c>
      <c r="H35" s="212">
        <v>1</v>
      </c>
      <c r="I35" s="212">
        <v>4</v>
      </c>
      <c r="J35" s="213">
        <v>0</v>
      </c>
      <c r="K35" s="213">
        <v>0</v>
      </c>
      <c r="L35" s="213">
        <f t="shared" si="0"/>
        <v>0</v>
      </c>
      <c r="M35" s="214">
        <f t="shared" si="1"/>
        <v>0</v>
      </c>
      <c r="N35" s="143">
        <f t="shared" si="2"/>
        <v>0</v>
      </c>
      <c r="O35" s="143">
        <f t="shared" si="3"/>
        <v>0</v>
      </c>
      <c r="P35" s="143">
        <f t="shared" si="9"/>
        <v>0</v>
      </c>
      <c r="Q35" s="143">
        <f t="shared" si="4"/>
        <v>0</v>
      </c>
      <c r="R35" s="143">
        <f t="shared" si="5"/>
        <v>0</v>
      </c>
      <c r="S35" s="143">
        <f t="shared" si="6"/>
        <v>0</v>
      </c>
      <c r="T35" s="143">
        <f t="shared" si="7"/>
        <v>0</v>
      </c>
      <c r="U35" s="143">
        <f t="shared" si="8"/>
        <v>0</v>
      </c>
      <c r="V35" s="29">
        <f t="shared" si="10"/>
        <v>0</v>
      </c>
      <c r="W35" s="29">
        <f t="shared" si="11"/>
        <v>0</v>
      </c>
      <c r="X35" s="30">
        <f t="shared" si="12"/>
        <v>0</v>
      </c>
      <c r="Y35" s="30">
        <f t="shared" si="12"/>
        <v>0</v>
      </c>
      <c r="Z35" s="2"/>
      <c r="AA35" s="3"/>
    </row>
    <row r="36" spans="1:27" ht="54.95" customHeight="1">
      <c r="A36" s="209">
        <v>33</v>
      </c>
      <c r="B36" s="250" t="s">
        <v>492</v>
      </c>
      <c r="C36" s="211">
        <v>1</v>
      </c>
      <c r="D36" s="212">
        <v>0</v>
      </c>
      <c r="E36" s="212">
        <v>0</v>
      </c>
      <c r="F36" s="212">
        <v>0</v>
      </c>
      <c r="G36" s="212">
        <v>1</v>
      </c>
      <c r="H36" s="212">
        <v>1</v>
      </c>
      <c r="I36" s="212">
        <v>4</v>
      </c>
      <c r="J36" s="213">
        <v>0</v>
      </c>
      <c r="K36" s="213">
        <v>0</v>
      </c>
      <c r="L36" s="213">
        <f t="shared" si="0"/>
        <v>0</v>
      </c>
      <c r="M36" s="214">
        <f t="shared" si="1"/>
        <v>0</v>
      </c>
      <c r="N36" s="143">
        <f t="shared" si="2"/>
        <v>0</v>
      </c>
      <c r="O36" s="143">
        <f t="shared" si="3"/>
        <v>0</v>
      </c>
      <c r="P36" s="143">
        <f t="shared" si="9"/>
        <v>0</v>
      </c>
      <c r="Q36" s="143">
        <f t="shared" si="4"/>
        <v>0</v>
      </c>
      <c r="R36" s="143">
        <f t="shared" si="5"/>
        <v>0</v>
      </c>
      <c r="S36" s="143">
        <f t="shared" si="6"/>
        <v>0</v>
      </c>
      <c r="T36" s="143">
        <f t="shared" si="7"/>
        <v>0</v>
      </c>
      <c r="U36" s="143">
        <f t="shared" si="8"/>
        <v>0</v>
      </c>
      <c r="V36" s="29">
        <f t="shared" si="10"/>
        <v>0</v>
      </c>
      <c r="W36" s="29">
        <f t="shared" si="11"/>
        <v>0</v>
      </c>
      <c r="X36" s="30">
        <f t="shared" si="12"/>
        <v>0</v>
      </c>
      <c r="Y36" s="30">
        <f t="shared" si="12"/>
        <v>0</v>
      </c>
      <c r="Z36" s="2"/>
      <c r="AA36" s="3"/>
    </row>
    <row r="37" spans="1:27" ht="54.95" customHeight="1">
      <c r="A37" s="209">
        <v>34</v>
      </c>
      <c r="B37" s="250" t="s">
        <v>493</v>
      </c>
      <c r="C37" s="211">
        <v>0.6</v>
      </c>
      <c r="D37" s="212">
        <v>0</v>
      </c>
      <c r="E37" s="212">
        <v>1</v>
      </c>
      <c r="F37" s="212">
        <v>0</v>
      </c>
      <c r="G37" s="212">
        <v>0</v>
      </c>
      <c r="H37" s="212">
        <v>1</v>
      </c>
      <c r="I37" s="212">
        <v>2</v>
      </c>
      <c r="J37" s="213">
        <v>0</v>
      </c>
      <c r="K37" s="213">
        <v>0</v>
      </c>
      <c r="L37" s="213">
        <f t="shared" si="0"/>
        <v>0</v>
      </c>
      <c r="M37" s="214">
        <f t="shared" si="1"/>
        <v>0</v>
      </c>
      <c r="N37" s="143">
        <f t="shared" si="2"/>
        <v>0</v>
      </c>
      <c r="O37" s="143">
        <f t="shared" si="3"/>
        <v>0</v>
      </c>
      <c r="P37" s="143">
        <f t="shared" si="9"/>
        <v>0</v>
      </c>
      <c r="Q37" s="143">
        <f t="shared" si="4"/>
        <v>0</v>
      </c>
      <c r="R37" s="143">
        <f t="shared" si="5"/>
        <v>0</v>
      </c>
      <c r="S37" s="143">
        <f t="shared" si="6"/>
        <v>0</v>
      </c>
      <c r="T37" s="143">
        <f t="shared" si="7"/>
        <v>0</v>
      </c>
      <c r="U37" s="143">
        <f t="shared" si="8"/>
        <v>0</v>
      </c>
      <c r="V37" s="29">
        <f t="shared" si="10"/>
        <v>0</v>
      </c>
      <c r="W37" s="29">
        <f t="shared" si="11"/>
        <v>0</v>
      </c>
      <c r="X37" s="30">
        <f t="shared" si="12"/>
        <v>0</v>
      </c>
      <c r="Y37" s="30">
        <f t="shared" si="12"/>
        <v>0</v>
      </c>
      <c r="Z37" s="2"/>
      <c r="AA37" s="3"/>
    </row>
    <row r="38" spans="1:27" ht="54.95" customHeight="1">
      <c r="A38" s="209">
        <v>35</v>
      </c>
      <c r="B38" s="250" t="s">
        <v>494</v>
      </c>
      <c r="C38" s="211">
        <v>0.4</v>
      </c>
      <c r="D38" s="212">
        <v>0</v>
      </c>
      <c r="E38" s="212">
        <v>1</v>
      </c>
      <c r="F38" s="212">
        <v>0</v>
      </c>
      <c r="G38" s="212">
        <v>0</v>
      </c>
      <c r="H38" s="212">
        <v>1</v>
      </c>
      <c r="I38" s="212">
        <v>2</v>
      </c>
      <c r="J38" s="213">
        <v>0</v>
      </c>
      <c r="K38" s="213">
        <v>0</v>
      </c>
      <c r="L38" s="213">
        <f t="shared" si="0"/>
        <v>0</v>
      </c>
      <c r="M38" s="214">
        <f t="shared" si="1"/>
        <v>0</v>
      </c>
      <c r="N38" s="143">
        <f t="shared" si="2"/>
        <v>0</v>
      </c>
      <c r="O38" s="143">
        <f t="shared" si="3"/>
        <v>0</v>
      </c>
      <c r="P38" s="143">
        <f t="shared" si="9"/>
        <v>0</v>
      </c>
      <c r="Q38" s="143">
        <f t="shared" si="4"/>
        <v>0</v>
      </c>
      <c r="R38" s="143">
        <f t="shared" si="5"/>
        <v>0</v>
      </c>
      <c r="S38" s="143">
        <f t="shared" si="6"/>
        <v>0</v>
      </c>
      <c r="T38" s="143">
        <f t="shared" si="7"/>
        <v>0</v>
      </c>
      <c r="U38" s="143">
        <f t="shared" si="8"/>
        <v>0</v>
      </c>
      <c r="V38" s="29">
        <f t="shared" si="10"/>
        <v>0</v>
      </c>
      <c r="W38" s="29">
        <f t="shared" si="11"/>
        <v>0</v>
      </c>
      <c r="X38" s="30">
        <f t="shared" si="12"/>
        <v>0</v>
      </c>
      <c r="Y38" s="30">
        <f t="shared" si="12"/>
        <v>0</v>
      </c>
      <c r="Z38" s="2"/>
      <c r="AA38" s="3"/>
    </row>
    <row r="39" spans="1:27" ht="54.95" customHeight="1">
      <c r="A39" s="209">
        <v>36</v>
      </c>
      <c r="B39" s="250" t="s">
        <v>1357</v>
      </c>
      <c r="C39" s="211">
        <v>0.4</v>
      </c>
      <c r="D39" s="212">
        <v>0</v>
      </c>
      <c r="E39" s="212">
        <v>1</v>
      </c>
      <c r="F39" s="212">
        <v>0</v>
      </c>
      <c r="G39" s="212">
        <v>0</v>
      </c>
      <c r="H39" s="212">
        <v>1</v>
      </c>
      <c r="I39" s="212">
        <v>2</v>
      </c>
      <c r="J39" s="213">
        <v>0</v>
      </c>
      <c r="K39" s="213">
        <v>0</v>
      </c>
      <c r="L39" s="213">
        <f t="shared" si="0"/>
        <v>0</v>
      </c>
      <c r="M39" s="214">
        <f t="shared" si="1"/>
        <v>0</v>
      </c>
      <c r="N39" s="143">
        <f t="shared" si="2"/>
        <v>0</v>
      </c>
      <c r="O39" s="143">
        <f t="shared" si="3"/>
        <v>0</v>
      </c>
      <c r="P39" s="143">
        <f t="shared" si="9"/>
        <v>0</v>
      </c>
      <c r="Q39" s="143">
        <f t="shared" si="4"/>
        <v>0</v>
      </c>
      <c r="R39" s="143">
        <f t="shared" si="5"/>
        <v>0</v>
      </c>
      <c r="S39" s="143">
        <f t="shared" si="6"/>
        <v>0</v>
      </c>
      <c r="T39" s="143">
        <f t="shared" si="7"/>
        <v>0</v>
      </c>
      <c r="U39" s="143">
        <f t="shared" si="8"/>
        <v>0</v>
      </c>
      <c r="V39" s="29">
        <f t="shared" si="10"/>
        <v>0</v>
      </c>
      <c r="W39" s="29">
        <f t="shared" si="11"/>
        <v>0</v>
      </c>
      <c r="X39" s="30">
        <f t="shared" si="12"/>
        <v>0</v>
      </c>
      <c r="Y39" s="30">
        <f t="shared" si="12"/>
        <v>0</v>
      </c>
      <c r="Z39" s="2"/>
      <c r="AA39" s="3"/>
    </row>
    <row r="40" spans="1:27" ht="54.95" customHeight="1">
      <c r="A40" s="209">
        <v>37</v>
      </c>
      <c r="B40" s="250" t="s">
        <v>1358</v>
      </c>
      <c r="C40" s="211">
        <v>0.3</v>
      </c>
      <c r="D40" s="212">
        <v>0</v>
      </c>
      <c r="E40" s="212">
        <v>1</v>
      </c>
      <c r="F40" s="212">
        <v>0</v>
      </c>
      <c r="G40" s="212">
        <v>0</v>
      </c>
      <c r="H40" s="212">
        <v>1</v>
      </c>
      <c r="I40" s="212">
        <v>2</v>
      </c>
      <c r="J40" s="213">
        <v>0</v>
      </c>
      <c r="K40" s="213">
        <v>0</v>
      </c>
      <c r="L40" s="213">
        <f t="shared" si="0"/>
        <v>0</v>
      </c>
      <c r="M40" s="214">
        <f t="shared" si="1"/>
        <v>0</v>
      </c>
      <c r="N40" s="143">
        <f t="shared" si="2"/>
        <v>0</v>
      </c>
      <c r="O40" s="143">
        <f t="shared" si="3"/>
        <v>0</v>
      </c>
      <c r="P40" s="143">
        <f t="shared" si="9"/>
        <v>0</v>
      </c>
      <c r="Q40" s="143">
        <f t="shared" si="4"/>
        <v>0</v>
      </c>
      <c r="R40" s="143">
        <f t="shared" si="5"/>
        <v>0</v>
      </c>
      <c r="S40" s="143">
        <f t="shared" si="6"/>
        <v>0</v>
      </c>
      <c r="T40" s="143">
        <f t="shared" si="7"/>
        <v>0</v>
      </c>
      <c r="U40" s="143">
        <f t="shared" si="8"/>
        <v>0</v>
      </c>
      <c r="V40" s="29">
        <f t="shared" si="10"/>
        <v>0</v>
      </c>
      <c r="W40" s="29">
        <f t="shared" si="11"/>
        <v>0</v>
      </c>
      <c r="X40" s="30">
        <f t="shared" si="12"/>
        <v>0</v>
      </c>
      <c r="Y40" s="30">
        <f t="shared" si="12"/>
        <v>0</v>
      </c>
      <c r="Z40" s="2"/>
      <c r="AA40" s="3"/>
    </row>
    <row r="41" spans="1:27" s="131" customFormat="1" ht="54.95" customHeight="1">
      <c r="A41" s="209">
        <v>38</v>
      </c>
      <c r="B41" s="250" t="s">
        <v>495</v>
      </c>
      <c r="C41" s="211">
        <v>3</v>
      </c>
      <c r="D41" s="212">
        <v>0</v>
      </c>
      <c r="E41" s="212">
        <v>1</v>
      </c>
      <c r="F41" s="212">
        <v>0</v>
      </c>
      <c r="G41" s="212">
        <v>1</v>
      </c>
      <c r="H41" s="212">
        <v>3</v>
      </c>
      <c r="I41" s="212">
        <v>4</v>
      </c>
      <c r="J41" s="213">
        <v>0</v>
      </c>
      <c r="K41" s="213">
        <v>0</v>
      </c>
      <c r="L41" s="213">
        <f t="shared" si="0"/>
        <v>0</v>
      </c>
      <c r="M41" s="214">
        <f t="shared" si="1"/>
        <v>0</v>
      </c>
      <c r="N41" s="143">
        <f t="shared" si="2"/>
        <v>0</v>
      </c>
      <c r="O41" s="143">
        <f t="shared" si="3"/>
        <v>0</v>
      </c>
      <c r="P41" s="143">
        <f t="shared" si="9"/>
        <v>0</v>
      </c>
      <c r="Q41" s="143">
        <f t="shared" si="4"/>
        <v>0</v>
      </c>
      <c r="R41" s="143">
        <f t="shared" si="5"/>
        <v>0</v>
      </c>
      <c r="S41" s="143">
        <f t="shared" si="6"/>
        <v>0</v>
      </c>
      <c r="T41" s="143">
        <f t="shared" si="7"/>
        <v>0</v>
      </c>
      <c r="U41" s="143">
        <f t="shared" si="8"/>
        <v>0</v>
      </c>
      <c r="V41" s="29">
        <f t="shared" si="10"/>
        <v>0</v>
      </c>
      <c r="W41" s="29">
        <f t="shared" si="11"/>
        <v>0</v>
      </c>
      <c r="X41" s="30">
        <f t="shared" si="12"/>
        <v>0</v>
      </c>
      <c r="Y41" s="30">
        <f t="shared" si="12"/>
        <v>0</v>
      </c>
      <c r="Z41" s="130"/>
    </row>
    <row r="42" spans="1:27" s="131" customFormat="1" ht="54.95" customHeight="1">
      <c r="A42" s="209">
        <v>39</v>
      </c>
      <c r="B42" s="250" t="s">
        <v>496</v>
      </c>
      <c r="C42" s="211">
        <v>1.5</v>
      </c>
      <c r="D42" s="212">
        <v>0</v>
      </c>
      <c r="E42" s="212">
        <v>1</v>
      </c>
      <c r="F42" s="212">
        <v>0</v>
      </c>
      <c r="G42" s="212">
        <v>0</v>
      </c>
      <c r="H42" s="212">
        <v>2</v>
      </c>
      <c r="I42" s="212">
        <v>3</v>
      </c>
      <c r="J42" s="213">
        <v>0</v>
      </c>
      <c r="K42" s="213">
        <v>0</v>
      </c>
      <c r="L42" s="213">
        <f t="shared" si="0"/>
        <v>0</v>
      </c>
      <c r="M42" s="214">
        <f t="shared" si="1"/>
        <v>0</v>
      </c>
      <c r="N42" s="143">
        <f t="shared" si="2"/>
        <v>0</v>
      </c>
      <c r="O42" s="143">
        <f t="shared" si="3"/>
        <v>0</v>
      </c>
      <c r="P42" s="143">
        <f t="shared" si="9"/>
        <v>0</v>
      </c>
      <c r="Q42" s="143">
        <f t="shared" si="4"/>
        <v>0</v>
      </c>
      <c r="R42" s="143">
        <f t="shared" si="5"/>
        <v>0</v>
      </c>
      <c r="S42" s="143">
        <f t="shared" si="6"/>
        <v>0</v>
      </c>
      <c r="T42" s="143">
        <f t="shared" si="7"/>
        <v>0</v>
      </c>
      <c r="U42" s="143">
        <f t="shared" si="8"/>
        <v>0</v>
      </c>
      <c r="V42" s="29">
        <f t="shared" si="10"/>
        <v>0</v>
      </c>
      <c r="W42" s="29">
        <f t="shared" si="11"/>
        <v>0</v>
      </c>
      <c r="X42" s="30">
        <f t="shared" si="12"/>
        <v>0</v>
      </c>
      <c r="Y42" s="30">
        <f t="shared" si="12"/>
        <v>0</v>
      </c>
      <c r="Z42" s="130"/>
    </row>
    <row r="43" spans="1:27" ht="54.95" customHeight="1">
      <c r="A43" s="209">
        <v>40</v>
      </c>
      <c r="B43" s="250" t="s">
        <v>416</v>
      </c>
      <c r="C43" s="211">
        <v>3</v>
      </c>
      <c r="D43" s="212">
        <v>0</v>
      </c>
      <c r="E43" s="212">
        <v>1</v>
      </c>
      <c r="F43" s="212">
        <v>0</v>
      </c>
      <c r="G43" s="212">
        <v>1</v>
      </c>
      <c r="H43" s="212">
        <v>3</v>
      </c>
      <c r="I43" s="212">
        <v>3</v>
      </c>
      <c r="J43" s="213">
        <v>0</v>
      </c>
      <c r="K43" s="213">
        <v>0</v>
      </c>
      <c r="L43" s="213">
        <f t="shared" si="0"/>
        <v>0</v>
      </c>
      <c r="M43" s="214">
        <f t="shared" si="1"/>
        <v>0</v>
      </c>
      <c r="N43" s="143">
        <f t="shared" si="2"/>
        <v>0</v>
      </c>
      <c r="O43" s="143">
        <f t="shared" si="3"/>
        <v>0</v>
      </c>
      <c r="P43" s="143">
        <f t="shared" si="9"/>
        <v>0</v>
      </c>
      <c r="Q43" s="143">
        <f t="shared" si="4"/>
        <v>0</v>
      </c>
      <c r="R43" s="143">
        <f t="shared" si="5"/>
        <v>0</v>
      </c>
      <c r="S43" s="143">
        <f t="shared" si="6"/>
        <v>0</v>
      </c>
      <c r="T43" s="143">
        <f t="shared" si="7"/>
        <v>0</v>
      </c>
      <c r="U43" s="143">
        <f t="shared" si="8"/>
        <v>0</v>
      </c>
      <c r="V43" s="29">
        <f t="shared" si="10"/>
        <v>0</v>
      </c>
      <c r="W43" s="29">
        <f t="shared" si="11"/>
        <v>0</v>
      </c>
      <c r="X43" s="30">
        <f t="shared" si="12"/>
        <v>0</v>
      </c>
      <c r="Y43" s="30">
        <f t="shared" si="12"/>
        <v>0</v>
      </c>
      <c r="Z43" s="2"/>
      <c r="AA43" s="3"/>
    </row>
    <row r="44" spans="1:27" ht="54.95" customHeight="1">
      <c r="A44" s="209">
        <v>41</v>
      </c>
      <c r="B44" s="250" t="s">
        <v>417</v>
      </c>
      <c r="C44" s="211">
        <v>1</v>
      </c>
      <c r="D44" s="212">
        <v>0</v>
      </c>
      <c r="E44" s="212">
        <v>1</v>
      </c>
      <c r="F44" s="212">
        <v>1</v>
      </c>
      <c r="G44" s="212">
        <v>1</v>
      </c>
      <c r="H44" s="212">
        <v>1</v>
      </c>
      <c r="I44" s="212">
        <v>1</v>
      </c>
      <c r="J44" s="213">
        <v>0</v>
      </c>
      <c r="K44" s="213">
        <v>0</v>
      </c>
      <c r="L44" s="213">
        <f t="shared" si="0"/>
        <v>0</v>
      </c>
      <c r="M44" s="214">
        <f t="shared" si="1"/>
        <v>0</v>
      </c>
      <c r="N44" s="143">
        <f t="shared" si="2"/>
        <v>0</v>
      </c>
      <c r="O44" s="143">
        <f t="shared" si="3"/>
        <v>0</v>
      </c>
      <c r="P44" s="143">
        <f t="shared" si="9"/>
        <v>0</v>
      </c>
      <c r="Q44" s="143">
        <f t="shared" si="4"/>
        <v>0</v>
      </c>
      <c r="R44" s="143">
        <f t="shared" si="5"/>
        <v>0</v>
      </c>
      <c r="S44" s="143">
        <f t="shared" si="6"/>
        <v>0</v>
      </c>
      <c r="T44" s="143">
        <f t="shared" si="7"/>
        <v>0</v>
      </c>
      <c r="U44" s="143">
        <f t="shared" si="8"/>
        <v>0</v>
      </c>
      <c r="V44" s="29">
        <f t="shared" si="10"/>
        <v>0</v>
      </c>
      <c r="W44" s="29">
        <f t="shared" si="11"/>
        <v>0</v>
      </c>
      <c r="X44" s="30">
        <f t="shared" si="12"/>
        <v>0</v>
      </c>
      <c r="Y44" s="30">
        <f t="shared" si="12"/>
        <v>0</v>
      </c>
      <c r="Z44" s="2"/>
      <c r="AA44" s="3"/>
    </row>
    <row r="45" spans="1:27" s="131" customFormat="1" ht="54.95" customHeight="1">
      <c r="A45" s="209">
        <v>42</v>
      </c>
      <c r="B45" s="250" t="s">
        <v>1359</v>
      </c>
      <c r="C45" s="211">
        <v>24</v>
      </c>
      <c r="D45" s="212">
        <v>0</v>
      </c>
      <c r="E45" s="212">
        <v>1</v>
      </c>
      <c r="F45" s="212">
        <v>1</v>
      </c>
      <c r="G45" s="212">
        <v>0</v>
      </c>
      <c r="H45" s="212">
        <v>1</v>
      </c>
      <c r="I45" s="212">
        <v>1</v>
      </c>
      <c r="J45" s="213">
        <v>0</v>
      </c>
      <c r="K45" s="213">
        <v>0</v>
      </c>
      <c r="L45" s="213">
        <f t="shared" si="0"/>
        <v>0</v>
      </c>
      <c r="M45" s="214">
        <f t="shared" si="1"/>
        <v>0</v>
      </c>
      <c r="N45" s="143">
        <f t="shared" si="2"/>
        <v>0</v>
      </c>
      <c r="O45" s="143">
        <f t="shared" si="3"/>
        <v>0</v>
      </c>
      <c r="P45" s="143">
        <f t="shared" si="9"/>
        <v>0</v>
      </c>
      <c r="Q45" s="143">
        <f t="shared" si="4"/>
        <v>0</v>
      </c>
      <c r="R45" s="143">
        <f t="shared" si="5"/>
        <v>0</v>
      </c>
      <c r="S45" s="143">
        <f t="shared" si="6"/>
        <v>0</v>
      </c>
      <c r="T45" s="143">
        <f t="shared" si="7"/>
        <v>0</v>
      </c>
      <c r="U45" s="143">
        <f t="shared" si="8"/>
        <v>0</v>
      </c>
      <c r="V45" s="29">
        <f t="shared" si="10"/>
        <v>0</v>
      </c>
      <c r="W45" s="29">
        <f t="shared" si="11"/>
        <v>0</v>
      </c>
      <c r="X45" s="30">
        <f t="shared" si="12"/>
        <v>0</v>
      </c>
      <c r="Y45" s="30">
        <f t="shared" si="12"/>
        <v>0</v>
      </c>
      <c r="Z45" s="130"/>
    </row>
    <row r="46" spans="1:27" ht="54.95" customHeight="1">
      <c r="A46" s="209">
        <v>43</v>
      </c>
      <c r="B46" s="250" t="s">
        <v>497</v>
      </c>
      <c r="C46" s="211">
        <v>48</v>
      </c>
      <c r="D46" s="212">
        <v>0</v>
      </c>
      <c r="E46" s="212">
        <v>1</v>
      </c>
      <c r="F46" s="212">
        <v>1</v>
      </c>
      <c r="G46" s="212">
        <v>0</v>
      </c>
      <c r="H46" s="212">
        <v>1</v>
      </c>
      <c r="I46" s="212">
        <v>1</v>
      </c>
      <c r="J46" s="213">
        <v>0</v>
      </c>
      <c r="K46" s="213">
        <v>0</v>
      </c>
      <c r="L46" s="213">
        <f t="shared" si="0"/>
        <v>0</v>
      </c>
      <c r="M46" s="214">
        <f t="shared" si="1"/>
        <v>0</v>
      </c>
      <c r="N46" s="143">
        <f t="shared" si="2"/>
        <v>0</v>
      </c>
      <c r="O46" s="143">
        <f t="shared" si="3"/>
        <v>0</v>
      </c>
      <c r="P46" s="143">
        <f t="shared" si="9"/>
        <v>0</v>
      </c>
      <c r="Q46" s="143">
        <f t="shared" si="4"/>
        <v>0</v>
      </c>
      <c r="R46" s="143">
        <f t="shared" si="5"/>
        <v>0</v>
      </c>
      <c r="S46" s="143">
        <f t="shared" si="6"/>
        <v>0</v>
      </c>
      <c r="T46" s="143">
        <f t="shared" si="7"/>
        <v>0</v>
      </c>
      <c r="U46" s="143">
        <f t="shared" si="8"/>
        <v>0</v>
      </c>
      <c r="V46" s="29">
        <f t="shared" si="10"/>
        <v>0</v>
      </c>
      <c r="W46" s="29">
        <f t="shared" si="11"/>
        <v>0</v>
      </c>
      <c r="X46" s="30">
        <f t="shared" si="12"/>
        <v>0</v>
      </c>
      <c r="Y46" s="30">
        <f t="shared" si="12"/>
        <v>0</v>
      </c>
      <c r="Z46" s="2"/>
      <c r="AA46" s="3"/>
    </row>
    <row r="47" spans="1:27" ht="54.95" customHeight="1">
      <c r="A47" s="209">
        <v>44</v>
      </c>
      <c r="B47" s="250" t="s">
        <v>498</v>
      </c>
      <c r="C47" s="211">
        <v>24</v>
      </c>
      <c r="D47" s="212">
        <v>0</v>
      </c>
      <c r="E47" s="212">
        <v>1</v>
      </c>
      <c r="F47" s="212">
        <v>1</v>
      </c>
      <c r="G47" s="212">
        <v>1</v>
      </c>
      <c r="H47" s="212">
        <v>1</v>
      </c>
      <c r="I47" s="212">
        <v>1</v>
      </c>
      <c r="J47" s="213">
        <v>0</v>
      </c>
      <c r="K47" s="213">
        <v>0</v>
      </c>
      <c r="L47" s="213">
        <f t="shared" si="0"/>
        <v>0</v>
      </c>
      <c r="M47" s="214">
        <f t="shared" si="1"/>
        <v>0</v>
      </c>
      <c r="N47" s="143">
        <f t="shared" si="2"/>
        <v>0</v>
      </c>
      <c r="O47" s="143">
        <f t="shared" si="3"/>
        <v>0</v>
      </c>
      <c r="P47" s="143">
        <f t="shared" si="9"/>
        <v>0</v>
      </c>
      <c r="Q47" s="143">
        <f t="shared" si="4"/>
        <v>0</v>
      </c>
      <c r="R47" s="143">
        <f t="shared" si="5"/>
        <v>0</v>
      </c>
      <c r="S47" s="143">
        <f t="shared" si="6"/>
        <v>0</v>
      </c>
      <c r="T47" s="143">
        <f t="shared" si="7"/>
        <v>0</v>
      </c>
      <c r="U47" s="143">
        <f t="shared" si="8"/>
        <v>0</v>
      </c>
      <c r="V47" s="29">
        <f t="shared" si="10"/>
        <v>0</v>
      </c>
      <c r="W47" s="29">
        <f t="shared" si="11"/>
        <v>0</v>
      </c>
      <c r="X47" s="30">
        <f t="shared" si="12"/>
        <v>0</v>
      </c>
      <c r="Y47" s="30">
        <f t="shared" si="12"/>
        <v>0</v>
      </c>
      <c r="Z47" s="2"/>
      <c r="AA47" s="3"/>
    </row>
    <row r="48" spans="1:27" s="2" customFormat="1" ht="54.95" customHeight="1">
      <c r="A48" s="377" t="s">
        <v>158</v>
      </c>
      <c r="B48" s="377"/>
      <c r="C48" s="378" t="s">
        <v>499</v>
      </c>
      <c r="D48" s="378"/>
      <c r="E48" s="378"/>
      <c r="F48" s="378"/>
      <c r="G48" s="378"/>
      <c r="H48" s="378"/>
      <c r="I48" s="378"/>
      <c r="J48" s="378"/>
      <c r="K48" s="378"/>
      <c r="L48" s="215">
        <f>SUM(L4:L47)</f>
        <v>0</v>
      </c>
      <c r="M48" s="215">
        <f>SUM(M4:M47)</f>
        <v>0</v>
      </c>
      <c r="N48" s="127">
        <f>SUM(N4:N47)</f>
        <v>0</v>
      </c>
      <c r="O48" s="127">
        <f t="shared" ref="O48:Y48" si="13">SUM(O4:O47)</f>
        <v>0</v>
      </c>
      <c r="P48" s="127">
        <f t="shared" si="13"/>
        <v>0</v>
      </c>
      <c r="Q48" s="127">
        <f t="shared" si="13"/>
        <v>0</v>
      </c>
      <c r="R48" s="127">
        <f t="shared" si="13"/>
        <v>0</v>
      </c>
      <c r="S48" s="127">
        <f t="shared" si="13"/>
        <v>0</v>
      </c>
      <c r="T48" s="127">
        <f t="shared" si="13"/>
        <v>0</v>
      </c>
      <c r="U48" s="127">
        <f t="shared" si="13"/>
        <v>0</v>
      </c>
      <c r="V48" s="127">
        <f t="shared" si="13"/>
        <v>0</v>
      </c>
      <c r="W48" s="127">
        <f t="shared" si="13"/>
        <v>0</v>
      </c>
      <c r="X48" s="127">
        <f t="shared" si="13"/>
        <v>0</v>
      </c>
      <c r="Y48" s="127">
        <f t="shared" si="13"/>
        <v>0</v>
      </c>
    </row>
    <row r="49" spans="1:26" s="2" customFormat="1" ht="54.95" customHeight="1">
      <c r="A49" s="379" t="s">
        <v>160</v>
      </c>
      <c r="B49" s="379"/>
      <c r="C49" s="379"/>
      <c r="D49" s="379"/>
      <c r="E49" s="379"/>
      <c r="F49" s="379"/>
      <c r="G49" s="379"/>
      <c r="H49" s="379"/>
      <c r="I49" s="379"/>
      <c r="J49" s="379"/>
      <c r="K49" s="379"/>
      <c r="L49" s="379"/>
      <c r="M49" s="273">
        <v>650</v>
      </c>
      <c r="N49" s="29"/>
      <c r="O49" s="29"/>
      <c r="P49" s="29"/>
      <c r="Q49" s="29"/>
      <c r="R49" s="29"/>
      <c r="S49" s="29"/>
      <c r="T49" s="29"/>
      <c r="U49" s="29"/>
      <c r="V49" s="29"/>
      <c r="W49" s="29"/>
      <c r="X49" s="30"/>
      <c r="Y49" s="30"/>
      <c r="Z49" s="124"/>
    </row>
    <row r="50" spans="1:26" s="2" customFormat="1" ht="54.95" customHeight="1">
      <c r="A50" s="3"/>
      <c r="B50" s="3"/>
      <c r="C50" s="125"/>
      <c r="D50" s="126"/>
      <c r="E50" s="126"/>
      <c r="F50" s="126"/>
      <c r="G50" s="126"/>
      <c r="H50" s="126"/>
      <c r="I50" s="126"/>
      <c r="J50" s="3"/>
      <c r="K50" s="3"/>
      <c r="L50" s="3"/>
      <c r="N50" s="29"/>
      <c r="O50" s="29"/>
      <c r="P50" s="29"/>
      <c r="Q50" s="29"/>
      <c r="R50" s="29"/>
      <c r="S50" s="29"/>
      <c r="T50" s="29"/>
      <c r="U50" s="29"/>
      <c r="V50" s="29"/>
      <c r="W50" s="29"/>
      <c r="X50" s="30"/>
      <c r="Y50" s="30"/>
      <c r="Z50" s="121"/>
    </row>
    <row r="51" spans="1:26" s="2" customFormat="1" ht="54.95" customHeight="1">
      <c r="A51" s="3"/>
      <c r="B51" s="3"/>
      <c r="C51" s="125"/>
      <c r="D51" s="126"/>
      <c r="E51" s="126"/>
      <c r="F51" s="126"/>
      <c r="G51" s="126"/>
      <c r="H51" s="126"/>
      <c r="I51" s="126"/>
      <c r="J51" s="3"/>
      <c r="K51" s="3"/>
      <c r="L51" s="3"/>
      <c r="N51" s="29"/>
      <c r="O51" s="29"/>
      <c r="P51" s="29"/>
      <c r="Q51" s="29"/>
      <c r="R51" s="29"/>
      <c r="S51" s="29"/>
      <c r="T51" s="29"/>
      <c r="U51" s="29"/>
      <c r="V51" s="29"/>
      <c r="W51" s="29"/>
      <c r="X51" s="30"/>
      <c r="Y51" s="30"/>
      <c r="Z51" s="121"/>
    </row>
    <row r="52" spans="1:26" s="2" customFormat="1" ht="54.95" customHeight="1">
      <c r="A52" s="3"/>
      <c r="B52" s="3"/>
      <c r="C52" s="125"/>
      <c r="D52" s="126"/>
      <c r="E52" s="126"/>
      <c r="F52" s="126"/>
      <c r="G52" s="126"/>
      <c r="H52" s="126"/>
      <c r="I52" s="126"/>
      <c r="J52" s="3"/>
      <c r="K52" s="3"/>
      <c r="L52" s="3"/>
      <c r="N52" s="29"/>
      <c r="O52" s="29"/>
      <c r="P52" s="29"/>
      <c r="Q52" s="29"/>
      <c r="R52" s="29"/>
      <c r="S52" s="29"/>
      <c r="T52" s="29"/>
      <c r="U52" s="29"/>
      <c r="V52" s="29"/>
      <c r="W52" s="29"/>
      <c r="X52" s="30"/>
      <c r="Y52" s="30"/>
      <c r="Z52" s="121"/>
    </row>
    <row r="53" spans="1:26" s="2" customFormat="1" ht="54.95" customHeight="1">
      <c r="A53" s="3"/>
      <c r="B53" s="3"/>
      <c r="C53" s="125"/>
      <c r="D53" s="126"/>
      <c r="E53" s="126"/>
      <c r="F53" s="126"/>
      <c r="G53" s="126"/>
      <c r="H53" s="126"/>
      <c r="I53" s="126"/>
      <c r="J53" s="3"/>
      <c r="K53" s="3"/>
      <c r="L53" s="3"/>
      <c r="N53" s="29"/>
      <c r="O53" s="29"/>
      <c r="P53" s="29"/>
      <c r="Q53" s="29"/>
      <c r="R53" s="29"/>
      <c r="S53" s="29"/>
      <c r="T53" s="29"/>
      <c r="U53" s="29"/>
      <c r="V53" s="29"/>
      <c r="W53" s="29"/>
      <c r="X53" s="30"/>
      <c r="Y53" s="30"/>
      <c r="Z53" s="121"/>
    </row>
    <row r="54" spans="1:26" s="2" customFormat="1" ht="54.95" customHeight="1">
      <c r="A54" s="3"/>
      <c r="B54" s="3"/>
      <c r="C54" s="125"/>
      <c r="D54" s="126"/>
      <c r="E54" s="126"/>
      <c r="F54" s="126"/>
      <c r="G54" s="126"/>
      <c r="H54" s="126"/>
      <c r="I54" s="126"/>
      <c r="J54" s="3"/>
      <c r="K54" s="3"/>
      <c r="L54" s="3"/>
      <c r="N54" s="29"/>
      <c r="O54" s="29"/>
      <c r="P54" s="29"/>
      <c r="Q54" s="29"/>
      <c r="R54" s="29"/>
      <c r="S54" s="29"/>
      <c r="T54" s="29"/>
      <c r="U54" s="29"/>
      <c r="V54" s="29"/>
      <c r="W54" s="29"/>
      <c r="X54" s="30"/>
      <c r="Y54" s="30"/>
      <c r="Z54" s="121"/>
    </row>
    <row r="55" spans="1:26" s="2" customFormat="1" ht="54.95" customHeight="1">
      <c r="A55" s="3"/>
      <c r="B55" s="3"/>
      <c r="C55" s="125"/>
      <c r="D55" s="126"/>
      <c r="E55" s="126"/>
      <c r="F55" s="126"/>
      <c r="G55" s="126"/>
      <c r="H55" s="126"/>
      <c r="I55" s="126"/>
      <c r="J55" s="3"/>
      <c r="K55" s="3"/>
      <c r="L55" s="3"/>
      <c r="N55" s="29"/>
      <c r="O55" s="29"/>
      <c r="P55" s="29"/>
      <c r="Q55" s="29"/>
      <c r="R55" s="29"/>
      <c r="S55" s="29"/>
      <c r="T55" s="29"/>
      <c r="U55" s="29"/>
      <c r="V55" s="29"/>
      <c r="W55" s="29"/>
      <c r="X55" s="30"/>
      <c r="Y55" s="30"/>
      <c r="Z55" s="121"/>
    </row>
    <row r="56" spans="1:26" s="2" customFormat="1" ht="54.95" customHeight="1">
      <c r="A56" s="3"/>
      <c r="B56" s="3"/>
      <c r="C56" s="125"/>
      <c r="D56" s="126"/>
      <c r="E56" s="126"/>
      <c r="F56" s="126"/>
      <c r="G56" s="126"/>
      <c r="H56" s="126"/>
      <c r="I56" s="126"/>
      <c r="J56" s="3"/>
      <c r="K56" s="3"/>
      <c r="L56" s="3"/>
      <c r="N56" s="29"/>
      <c r="O56" s="29"/>
      <c r="P56" s="29"/>
      <c r="Q56" s="29"/>
      <c r="R56" s="29"/>
      <c r="S56" s="29"/>
      <c r="T56" s="29"/>
      <c r="U56" s="29"/>
      <c r="V56" s="29"/>
      <c r="W56" s="29"/>
      <c r="X56" s="30"/>
      <c r="Y56" s="30"/>
      <c r="Z56" s="121"/>
    </row>
    <row r="57" spans="1:26" s="2" customFormat="1" ht="54.95" customHeight="1">
      <c r="A57" s="3"/>
      <c r="B57" s="3"/>
      <c r="C57" s="125"/>
      <c r="D57" s="126"/>
      <c r="E57" s="126"/>
      <c r="F57" s="126"/>
      <c r="G57" s="126"/>
      <c r="H57" s="126"/>
      <c r="I57" s="126"/>
      <c r="J57" s="3"/>
      <c r="K57" s="3"/>
      <c r="L57" s="3"/>
      <c r="N57" s="29"/>
      <c r="O57" s="29"/>
      <c r="P57" s="29"/>
      <c r="Q57" s="29"/>
      <c r="R57" s="29"/>
      <c r="S57" s="29"/>
      <c r="T57" s="29"/>
      <c r="U57" s="29"/>
      <c r="V57" s="29"/>
      <c r="W57" s="29"/>
      <c r="X57" s="30"/>
      <c r="Y57" s="30"/>
      <c r="Z57" s="121"/>
    </row>
    <row r="58" spans="1:26" s="2" customFormat="1" ht="54.95" customHeight="1">
      <c r="A58" s="3"/>
      <c r="B58" s="3"/>
      <c r="C58" s="125"/>
      <c r="D58" s="126"/>
      <c r="E58" s="126"/>
      <c r="F58" s="126"/>
      <c r="G58" s="126"/>
      <c r="H58" s="126"/>
      <c r="I58" s="126"/>
      <c r="J58" s="3"/>
      <c r="K58" s="3"/>
      <c r="L58" s="3"/>
      <c r="N58" s="29"/>
      <c r="O58" s="29"/>
      <c r="P58" s="29"/>
      <c r="Q58" s="29"/>
      <c r="R58" s="29"/>
      <c r="S58" s="29"/>
      <c r="T58" s="29"/>
      <c r="U58" s="29"/>
      <c r="V58" s="29"/>
      <c r="W58" s="29"/>
      <c r="X58" s="30"/>
      <c r="Y58" s="30"/>
      <c r="Z58" s="121"/>
    </row>
    <row r="59" spans="1:26" ht="54.95" customHeight="1"/>
    <row r="60" spans="1:26" ht="54.95" customHeight="1"/>
    <row r="61" spans="1:26" ht="54.95" customHeight="1"/>
    <row r="62" spans="1:26" ht="54.95" customHeight="1"/>
    <row r="63" spans="1:26" ht="54.95" customHeight="1"/>
    <row r="64" spans="1:26" ht="54.95" customHeight="1"/>
    <row r="65" ht="54.95" customHeight="1"/>
    <row r="66" ht="54.95" customHeight="1"/>
    <row r="67" ht="54.95" customHeight="1"/>
    <row r="68" ht="54.95" customHeight="1"/>
    <row r="69" ht="54.95" customHeight="1"/>
    <row r="70" ht="54.95" customHeight="1"/>
    <row r="71" ht="54.95" customHeight="1"/>
    <row r="72" ht="54.95" customHeight="1"/>
    <row r="73" ht="54.95" customHeight="1"/>
    <row r="74" ht="54.95" customHeight="1"/>
    <row r="75" ht="54.95" customHeight="1"/>
    <row r="76" ht="54.95" customHeight="1"/>
    <row r="77" ht="54.95" customHeight="1"/>
    <row r="78" ht="54.95" customHeight="1"/>
    <row r="79" ht="54.95" customHeight="1"/>
    <row r="80" ht="54.95" customHeight="1"/>
    <row r="81" ht="54.95" customHeight="1"/>
    <row r="82" ht="54.95" customHeight="1"/>
    <row r="83" ht="54.95" customHeight="1"/>
    <row r="84" ht="54.95" customHeight="1"/>
    <row r="85" ht="54.95" customHeight="1"/>
    <row r="86" ht="54.95" customHeight="1"/>
    <row r="87" ht="54.95" customHeight="1"/>
    <row r="88" ht="54.95" customHeight="1"/>
    <row r="89" ht="54.95" customHeight="1"/>
    <row r="90" ht="54.95" customHeight="1"/>
    <row r="91" ht="54.95" customHeight="1"/>
    <row r="92" ht="54.95" customHeight="1"/>
    <row r="93" ht="54.95" customHeight="1"/>
    <row r="94" ht="54.95" customHeight="1"/>
    <row r="95" ht="54.95" customHeight="1"/>
    <row r="96" ht="54.95" customHeight="1"/>
    <row r="97" ht="54.95" customHeight="1"/>
    <row r="98" ht="54.95" customHeight="1"/>
    <row r="99" ht="54.95" customHeight="1"/>
    <row r="100" ht="54.95" customHeight="1"/>
    <row r="101" ht="54.95" customHeight="1"/>
    <row r="102" ht="54.95" customHeight="1"/>
    <row r="103" ht="54.95" customHeight="1"/>
    <row r="104" ht="54.95" customHeight="1"/>
    <row r="105" ht="54.95" customHeight="1"/>
    <row r="106" ht="54.95" customHeight="1"/>
    <row r="107" ht="54.95" customHeight="1"/>
    <row r="108" ht="54.95" customHeight="1"/>
    <row r="109" ht="54.95" customHeight="1"/>
    <row r="110" ht="54.95" customHeight="1"/>
    <row r="111" ht="54.95" customHeight="1"/>
    <row r="112" ht="54.95" customHeight="1"/>
    <row r="113" ht="54.95" customHeight="1"/>
    <row r="114" ht="54.95" customHeight="1"/>
    <row r="115" ht="54.95" customHeight="1"/>
    <row r="116" ht="54.95" customHeight="1"/>
    <row r="117" ht="54.95" customHeight="1"/>
    <row r="118" ht="54.95" customHeight="1"/>
    <row r="119" ht="54.95" customHeight="1"/>
    <row r="120" ht="54.95" customHeight="1"/>
    <row r="121" ht="54.95" customHeight="1"/>
    <row r="122" ht="54.95" customHeight="1"/>
    <row r="123" ht="54.95" customHeight="1"/>
    <row r="124" ht="54.95" customHeight="1"/>
    <row r="125" ht="54.95" customHeight="1"/>
    <row r="126" ht="54.95" customHeight="1"/>
    <row r="127" ht="54.95" customHeight="1"/>
    <row r="128" ht="54.95" customHeight="1"/>
    <row r="129" ht="54.95" customHeight="1"/>
    <row r="130" ht="54.95" customHeight="1"/>
    <row r="131" ht="54.95" customHeight="1"/>
    <row r="132" ht="54.95" customHeight="1"/>
    <row r="133" ht="54.95" customHeight="1"/>
    <row r="134" ht="54.95" customHeight="1"/>
    <row r="135" ht="54.95" customHeight="1"/>
    <row r="136" ht="54.95" customHeight="1"/>
    <row r="137" ht="54.95" customHeight="1"/>
    <row r="138" ht="54.95" customHeight="1"/>
    <row r="139" ht="54.95" customHeight="1"/>
    <row r="140" ht="54.95" customHeight="1"/>
    <row r="141" ht="54.95" customHeight="1"/>
    <row r="142" ht="54.95" customHeight="1"/>
    <row r="143" ht="54.95" customHeight="1"/>
    <row r="144" ht="54.95" customHeight="1"/>
    <row r="145" ht="54.95" customHeight="1"/>
    <row r="146" ht="54.95" customHeight="1"/>
    <row r="147" ht="54.95" customHeight="1"/>
    <row r="148" ht="54.95" customHeight="1"/>
    <row r="149" ht="54.95" customHeight="1"/>
    <row r="150" ht="54.95" customHeight="1"/>
    <row r="151" ht="54.95" customHeight="1"/>
    <row r="152" ht="54.95" customHeight="1"/>
    <row r="153" ht="54.95" customHeight="1"/>
    <row r="154" ht="54.95" customHeight="1"/>
    <row r="155" ht="54.95" customHeight="1"/>
    <row r="156" ht="54.95" customHeight="1"/>
    <row r="157" ht="54.95" customHeight="1"/>
    <row r="158" ht="54.95" customHeight="1"/>
    <row r="159" ht="54.95" customHeight="1"/>
    <row r="160" ht="54.95" customHeight="1"/>
    <row r="161" ht="54.95" customHeight="1"/>
    <row r="162" ht="54.95" customHeight="1"/>
    <row r="163" ht="54.95" customHeight="1"/>
    <row r="164" ht="54.95" customHeight="1"/>
    <row r="165" ht="54.95" customHeight="1"/>
    <row r="166" ht="54.95" customHeight="1"/>
    <row r="167" ht="54.95" customHeight="1"/>
    <row r="168" ht="54.95" customHeight="1"/>
    <row r="169" ht="54.95" customHeight="1"/>
    <row r="170" ht="54.95" customHeight="1"/>
    <row r="171" ht="54.95" customHeight="1"/>
    <row r="172" ht="54.95" customHeight="1"/>
    <row r="173" ht="54.95" customHeight="1"/>
    <row r="174" ht="54.95" customHeight="1"/>
    <row r="175" ht="54.95" customHeight="1"/>
    <row r="176" ht="54.95" customHeight="1"/>
    <row r="177" spans="1:26" ht="54.95" customHeight="1"/>
    <row r="178" spans="1:26" ht="54.95" customHeight="1"/>
    <row r="179" spans="1:26" ht="54.95" customHeight="1"/>
    <row r="180" spans="1:26" ht="54.95" customHeight="1"/>
    <row r="181" spans="1:26" ht="54.95" customHeight="1"/>
    <row r="182" spans="1:26" ht="54.95" customHeight="1"/>
    <row r="183" spans="1:26" ht="54.95" customHeight="1"/>
    <row r="184" spans="1:26" ht="54.95" customHeight="1"/>
    <row r="185" spans="1:26" ht="54.95" customHeight="1"/>
    <row r="186" spans="1:26" ht="54.95" customHeight="1"/>
    <row r="187" spans="1:26" s="2" customFormat="1" ht="54.95" customHeight="1">
      <c r="A187" s="3"/>
      <c r="B187" s="3"/>
      <c r="C187" s="125"/>
      <c r="D187" s="126"/>
      <c r="E187" s="126"/>
      <c r="F187" s="126"/>
      <c r="G187" s="126"/>
      <c r="H187" s="126"/>
      <c r="I187" s="126"/>
      <c r="J187" s="3"/>
      <c r="K187" s="3"/>
      <c r="L187" s="3"/>
      <c r="N187" s="29"/>
      <c r="O187" s="29"/>
      <c r="P187" s="29"/>
      <c r="Q187" s="29"/>
      <c r="R187" s="29"/>
      <c r="S187" s="29"/>
      <c r="T187" s="29"/>
      <c r="U187" s="29"/>
      <c r="V187" s="29"/>
      <c r="W187" s="29"/>
      <c r="X187" s="30"/>
      <c r="Y187" s="30"/>
      <c r="Z187" s="121"/>
    </row>
    <row r="188" spans="1:26" s="2" customFormat="1" ht="54.95" customHeight="1">
      <c r="A188" s="3"/>
      <c r="B188" s="3"/>
      <c r="C188" s="125"/>
      <c r="D188" s="126"/>
      <c r="E188" s="126"/>
      <c r="F188" s="126"/>
      <c r="G188" s="126"/>
      <c r="H188" s="126"/>
      <c r="I188" s="126"/>
      <c r="J188" s="3"/>
      <c r="K188" s="3"/>
      <c r="L188" s="3"/>
      <c r="N188" s="29"/>
      <c r="O188" s="29"/>
      <c r="P188" s="29"/>
      <c r="Q188" s="29"/>
      <c r="R188" s="29"/>
      <c r="S188" s="29"/>
      <c r="T188" s="29"/>
      <c r="U188" s="29"/>
      <c r="V188" s="29"/>
      <c r="W188" s="29"/>
      <c r="X188" s="30"/>
      <c r="Y188" s="30"/>
      <c r="Z188" s="121"/>
    </row>
    <row r="189" spans="1:26" s="2" customFormat="1" ht="54.95" customHeight="1">
      <c r="A189" s="3"/>
      <c r="B189" s="3"/>
      <c r="C189" s="125"/>
      <c r="D189" s="126"/>
      <c r="E189" s="126"/>
      <c r="F189" s="126"/>
      <c r="G189" s="126"/>
      <c r="H189" s="126"/>
      <c r="I189" s="126"/>
      <c r="J189" s="3"/>
      <c r="K189" s="3"/>
      <c r="L189" s="3"/>
      <c r="N189" s="29"/>
      <c r="O189" s="29"/>
      <c r="P189" s="29"/>
      <c r="Q189" s="29"/>
      <c r="R189" s="29"/>
      <c r="S189" s="29"/>
      <c r="T189" s="29"/>
      <c r="U189" s="29"/>
      <c r="V189" s="29"/>
      <c r="W189" s="29"/>
      <c r="X189" s="30"/>
      <c r="Y189" s="30"/>
      <c r="Z189" s="121"/>
    </row>
    <row r="190" spans="1:26" s="2" customFormat="1" ht="54.95" customHeight="1">
      <c r="A190" s="3"/>
      <c r="B190" s="3"/>
      <c r="C190" s="125"/>
      <c r="D190" s="126"/>
      <c r="E190" s="126"/>
      <c r="F190" s="126"/>
      <c r="G190" s="126"/>
      <c r="H190" s="126"/>
      <c r="I190" s="126"/>
      <c r="J190" s="3"/>
      <c r="K190" s="3"/>
      <c r="L190" s="3"/>
      <c r="N190" s="29"/>
      <c r="O190" s="29"/>
      <c r="P190" s="29"/>
      <c r="Q190" s="29"/>
      <c r="R190" s="29"/>
      <c r="S190" s="29"/>
      <c r="T190" s="29"/>
      <c r="U190" s="29"/>
      <c r="V190" s="29"/>
      <c r="W190" s="29"/>
      <c r="X190" s="30"/>
      <c r="Y190" s="30"/>
      <c r="Z190" s="121"/>
    </row>
    <row r="191" spans="1:26" s="2" customFormat="1" ht="54.95" customHeight="1">
      <c r="A191" s="3"/>
      <c r="B191" s="3"/>
      <c r="C191" s="125"/>
      <c r="D191" s="126"/>
      <c r="E191" s="126"/>
      <c r="F191" s="126"/>
      <c r="G191" s="126"/>
      <c r="H191" s="126"/>
      <c r="I191" s="126"/>
      <c r="J191" s="3"/>
      <c r="K191" s="3"/>
      <c r="L191" s="3"/>
      <c r="N191" s="29"/>
      <c r="O191" s="29"/>
      <c r="P191" s="29"/>
      <c r="Q191" s="29"/>
      <c r="R191" s="29"/>
      <c r="S191" s="29"/>
      <c r="T191" s="29"/>
      <c r="U191" s="29"/>
      <c r="V191" s="29"/>
      <c r="W191" s="29"/>
      <c r="X191" s="30"/>
      <c r="Y191" s="30"/>
      <c r="Z191" s="121"/>
    </row>
    <row r="192" spans="1:26" s="2" customFormat="1" ht="54.95" customHeight="1">
      <c r="A192" s="3"/>
      <c r="B192" s="3"/>
      <c r="C192" s="125"/>
      <c r="D192" s="126"/>
      <c r="E192" s="126"/>
      <c r="F192" s="126"/>
      <c r="G192" s="126"/>
      <c r="H192" s="126"/>
      <c r="I192" s="126"/>
      <c r="J192" s="3"/>
      <c r="K192" s="3"/>
      <c r="L192" s="3"/>
      <c r="N192" s="29"/>
      <c r="O192" s="29"/>
      <c r="P192" s="29"/>
      <c r="Q192" s="29"/>
      <c r="R192" s="29"/>
      <c r="S192" s="29"/>
      <c r="T192" s="29"/>
      <c r="U192" s="29"/>
      <c r="V192" s="29"/>
      <c r="W192" s="29"/>
      <c r="X192" s="30"/>
      <c r="Y192" s="30"/>
      <c r="Z192" s="121"/>
    </row>
    <row r="193" spans="1:26" s="2" customFormat="1" ht="54.95" customHeight="1">
      <c r="A193" s="3"/>
      <c r="B193" s="3"/>
      <c r="C193" s="125"/>
      <c r="D193" s="126"/>
      <c r="E193" s="126"/>
      <c r="F193" s="126"/>
      <c r="G193" s="126"/>
      <c r="H193" s="126"/>
      <c r="I193" s="126"/>
      <c r="J193" s="3"/>
      <c r="K193" s="3"/>
      <c r="L193" s="3"/>
      <c r="N193" s="29"/>
      <c r="O193" s="29"/>
      <c r="P193" s="29"/>
      <c r="Q193" s="29"/>
      <c r="R193" s="29"/>
      <c r="S193" s="29"/>
      <c r="T193" s="29"/>
      <c r="U193" s="29"/>
      <c r="V193" s="29"/>
      <c r="W193" s="29"/>
      <c r="X193" s="30"/>
      <c r="Y193" s="30"/>
      <c r="Z193" s="121"/>
    </row>
    <row r="194" spans="1:26" s="15" customFormat="1" ht="54.95" hidden="1" customHeight="1">
      <c r="B194" s="15" t="str">
        <f>A48</f>
        <v>كميت سنجه عملكرد همسان شده :</v>
      </c>
      <c r="C194" s="128" t="s">
        <v>161</v>
      </c>
      <c r="D194" s="129">
        <f>$L$48</f>
        <v>0</v>
      </c>
      <c r="E194" s="129"/>
      <c r="F194" s="129"/>
      <c r="G194" s="129"/>
      <c r="H194" s="129"/>
      <c r="I194" s="129"/>
      <c r="N194" s="29"/>
      <c r="O194" s="29"/>
      <c r="P194" s="29"/>
      <c r="Q194" s="29"/>
      <c r="R194" s="29"/>
      <c r="S194" s="29"/>
      <c r="T194" s="29"/>
      <c r="U194" s="29"/>
      <c r="V194" s="29"/>
      <c r="W194" s="29"/>
      <c r="X194" s="30"/>
      <c r="Y194" s="30"/>
      <c r="Z194" s="30"/>
    </row>
    <row r="195" spans="1:26" s="15" customFormat="1" ht="54.95" hidden="1" customHeight="1">
      <c r="C195" s="128" t="s">
        <v>162</v>
      </c>
      <c r="D195" s="129">
        <f>$M$48</f>
        <v>0</v>
      </c>
      <c r="E195" s="129"/>
      <c r="F195" s="129"/>
      <c r="G195" s="129"/>
      <c r="H195" s="129"/>
      <c r="I195" s="129"/>
      <c r="N195" s="29"/>
      <c r="O195" s="29"/>
      <c r="P195" s="29"/>
      <c r="Q195" s="29"/>
      <c r="R195" s="29"/>
      <c r="S195" s="29"/>
      <c r="T195" s="29"/>
      <c r="U195" s="29"/>
      <c r="V195" s="29"/>
      <c r="W195" s="29"/>
      <c r="X195" s="30"/>
      <c r="Y195" s="30"/>
      <c r="Z195" s="30"/>
    </row>
    <row r="196" spans="1:26" s="2" customFormat="1" ht="54.95" customHeight="1">
      <c r="A196" s="3"/>
      <c r="B196" s="3"/>
      <c r="C196" s="125"/>
      <c r="D196" s="126"/>
      <c r="E196" s="126"/>
      <c r="F196" s="126"/>
      <c r="G196" s="126"/>
      <c r="H196" s="126"/>
      <c r="I196" s="126"/>
      <c r="J196" s="3"/>
      <c r="K196" s="3"/>
      <c r="L196" s="3"/>
      <c r="N196" s="29"/>
      <c r="O196" s="29"/>
      <c r="P196" s="29"/>
      <c r="Q196" s="29"/>
      <c r="R196" s="29"/>
      <c r="S196" s="29"/>
      <c r="T196" s="29"/>
      <c r="U196" s="29"/>
      <c r="V196" s="29"/>
      <c r="W196" s="29"/>
      <c r="X196" s="30"/>
      <c r="Y196" s="30"/>
      <c r="Z196" s="121"/>
    </row>
    <row r="197" spans="1:26" s="2" customFormat="1" ht="54.95" customHeight="1">
      <c r="A197" s="3"/>
      <c r="B197" s="3"/>
      <c r="C197" s="125"/>
      <c r="D197" s="126"/>
      <c r="E197" s="126"/>
      <c r="F197" s="126"/>
      <c r="G197" s="126"/>
      <c r="H197" s="126"/>
      <c r="I197" s="126"/>
      <c r="J197" s="3"/>
      <c r="K197" s="3"/>
      <c r="L197" s="3"/>
      <c r="N197" s="29"/>
      <c r="O197" s="29"/>
      <c r="P197" s="29"/>
      <c r="Q197" s="29"/>
      <c r="R197" s="29"/>
      <c r="S197" s="29"/>
      <c r="T197" s="29"/>
      <c r="U197" s="29"/>
      <c r="V197" s="29"/>
      <c r="W197" s="29"/>
      <c r="X197" s="30"/>
      <c r="Y197" s="30"/>
      <c r="Z197" s="121"/>
    </row>
    <row r="198" spans="1:26" s="2" customFormat="1" ht="54.95" customHeight="1">
      <c r="A198" s="3"/>
      <c r="B198" s="3"/>
      <c r="C198" s="125"/>
      <c r="D198" s="126"/>
      <c r="E198" s="126"/>
      <c r="F198" s="126"/>
      <c r="G198" s="126"/>
      <c r="H198" s="126"/>
      <c r="I198" s="126"/>
      <c r="J198" s="3"/>
      <c r="K198" s="3"/>
      <c r="L198" s="3"/>
      <c r="N198" s="29"/>
      <c r="O198" s="29"/>
      <c r="P198" s="29"/>
      <c r="Q198" s="29"/>
      <c r="R198" s="29"/>
      <c r="S198" s="29"/>
      <c r="T198" s="29"/>
      <c r="U198" s="29"/>
      <c r="V198" s="29"/>
      <c r="W198" s="29"/>
      <c r="X198" s="30"/>
      <c r="Y198" s="30"/>
      <c r="Z198" s="121"/>
    </row>
    <row r="199" spans="1:26" s="2" customFormat="1" ht="54.95" customHeight="1">
      <c r="A199" s="3"/>
      <c r="B199" s="3"/>
      <c r="C199" s="125"/>
      <c r="D199" s="126"/>
      <c r="E199" s="126"/>
      <c r="F199" s="126"/>
      <c r="G199" s="126"/>
      <c r="H199" s="126"/>
      <c r="I199" s="126"/>
      <c r="J199" s="3"/>
      <c r="K199" s="3"/>
      <c r="L199" s="3"/>
      <c r="N199" s="29"/>
      <c r="O199" s="29"/>
      <c r="P199" s="29"/>
      <c r="Q199" s="29"/>
      <c r="R199" s="29"/>
      <c r="S199" s="29"/>
      <c r="T199" s="29"/>
      <c r="U199" s="29"/>
      <c r="V199" s="29"/>
      <c r="W199" s="29"/>
      <c r="X199" s="30"/>
      <c r="Y199" s="30"/>
      <c r="Z199" s="121"/>
    </row>
    <row r="200" spans="1:26" s="2" customFormat="1" ht="54.95" customHeight="1">
      <c r="A200" s="3"/>
      <c r="B200" s="3"/>
      <c r="C200" s="125"/>
      <c r="D200" s="126"/>
      <c r="E200" s="126"/>
      <c r="F200" s="126"/>
      <c r="G200" s="126"/>
      <c r="H200" s="126"/>
      <c r="I200" s="126"/>
      <c r="J200" s="3"/>
      <c r="K200" s="3"/>
      <c r="L200" s="3"/>
      <c r="N200" s="29"/>
      <c r="O200" s="29"/>
      <c r="P200" s="29"/>
      <c r="Q200" s="29"/>
      <c r="R200" s="29"/>
      <c r="S200" s="29"/>
      <c r="T200" s="29"/>
      <c r="U200" s="29"/>
      <c r="V200" s="29"/>
      <c r="W200" s="29"/>
      <c r="X200" s="30"/>
      <c r="Y200" s="30"/>
      <c r="Z200" s="121"/>
    </row>
    <row r="201" spans="1:26" s="2" customFormat="1" ht="54.95" customHeight="1">
      <c r="A201" s="3"/>
      <c r="B201" s="3"/>
      <c r="C201" s="125"/>
      <c r="D201" s="126"/>
      <c r="E201" s="126"/>
      <c r="F201" s="126"/>
      <c r="G201" s="126"/>
      <c r="H201" s="126"/>
      <c r="I201" s="126"/>
      <c r="J201" s="3"/>
      <c r="K201" s="3"/>
      <c r="L201" s="3"/>
      <c r="N201" s="29"/>
      <c r="O201" s="29"/>
      <c r="P201" s="29"/>
      <c r="Q201" s="29"/>
      <c r="R201" s="29"/>
      <c r="S201" s="29"/>
      <c r="T201" s="29"/>
      <c r="U201" s="29"/>
      <c r="V201" s="29"/>
      <c r="W201" s="29"/>
      <c r="X201" s="30"/>
      <c r="Y201" s="30"/>
      <c r="Z201" s="121"/>
    </row>
    <row r="202" spans="1:26" s="2" customFormat="1" ht="54.95" customHeight="1">
      <c r="A202" s="3"/>
      <c r="B202" s="3"/>
      <c r="C202" s="125"/>
      <c r="D202" s="126"/>
      <c r="E202" s="126"/>
      <c r="F202" s="126"/>
      <c r="G202" s="126"/>
      <c r="H202" s="126"/>
      <c r="I202" s="126"/>
      <c r="J202" s="3"/>
      <c r="K202" s="3"/>
      <c r="L202" s="3"/>
      <c r="N202" s="29"/>
      <c r="O202" s="29"/>
      <c r="P202" s="29"/>
      <c r="Q202" s="29"/>
      <c r="R202" s="29"/>
      <c r="S202" s="29"/>
      <c r="T202" s="29"/>
      <c r="U202" s="29"/>
      <c r="V202" s="29"/>
      <c r="W202" s="29"/>
      <c r="X202" s="30"/>
      <c r="Y202" s="30"/>
      <c r="Z202" s="121"/>
    </row>
    <row r="203" spans="1:26" ht="54.95" customHeight="1"/>
    <row r="204" spans="1:26" ht="54.95" customHeight="1"/>
    <row r="205" spans="1:26" ht="54.95" customHeight="1"/>
    <row r="206" spans="1:26" ht="54.95" customHeight="1"/>
    <row r="207" spans="1:26" ht="54.95" customHeight="1"/>
    <row r="208" spans="1:26" ht="54.95" customHeight="1"/>
    <row r="209" ht="54.95" customHeight="1"/>
    <row r="210" ht="54.95" customHeight="1"/>
    <row r="211" ht="54.95" customHeight="1"/>
    <row r="212" ht="54.95" customHeight="1"/>
    <row r="213" ht="54.95" customHeight="1"/>
    <row r="214" ht="54.95" customHeight="1"/>
    <row r="215" ht="54.95" customHeight="1"/>
    <row r="216" ht="54.95" customHeight="1"/>
    <row r="217" ht="54.95" customHeight="1"/>
    <row r="218" ht="54.95" customHeight="1"/>
    <row r="219" ht="54.95" customHeight="1"/>
    <row r="220" ht="54.95" customHeight="1"/>
    <row r="221" ht="54.95" customHeight="1"/>
    <row r="222" ht="54.95" customHeight="1"/>
    <row r="223" ht="54.95" customHeight="1"/>
    <row r="224" ht="54.95" customHeight="1"/>
    <row r="225" ht="54.95" customHeight="1"/>
    <row r="226" ht="54.95" customHeight="1"/>
    <row r="227" ht="54.95" customHeight="1"/>
    <row r="228" ht="54.95" customHeight="1"/>
    <row r="229" ht="54.95" customHeight="1"/>
    <row r="230" ht="54.95" customHeight="1"/>
    <row r="231" ht="54.95" customHeight="1"/>
    <row r="232" ht="54.95" customHeight="1"/>
    <row r="233" ht="54.95" customHeight="1"/>
    <row r="234" ht="54.95" customHeight="1"/>
    <row r="235" ht="54.95" customHeight="1"/>
    <row r="236" ht="54.95" customHeight="1"/>
    <row r="237" ht="54.95" customHeight="1"/>
    <row r="238" ht="54.95" customHeight="1"/>
    <row r="239" ht="54.95" customHeight="1"/>
    <row r="240" ht="54.95" customHeight="1"/>
    <row r="241" ht="54.95" customHeight="1"/>
    <row r="242" ht="54.95" customHeight="1"/>
    <row r="243" ht="54.95" customHeight="1"/>
    <row r="244" ht="54.95" customHeight="1"/>
    <row r="245" ht="54.95" customHeight="1"/>
    <row r="246" ht="54.95" customHeight="1"/>
    <row r="247" ht="54.95" customHeight="1"/>
    <row r="248" ht="54.95" customHeight="1"/>
    <row r="249" ht="54.95" customHeight="1"/>
    <row r="250" ht="54.95" customHeight="1"/>
    <row r="251" ht="54.95" customHeight="1"/>
    <row r="252" ht="54.95" customHeight="1"/>
    <row r="253" ht="54.95" customHeight="1"/>
    <row r="254" ht="54.95" customHeight="1"/>
    <row r="255" ht="54.95" customHeight="1"/>
    <row r="256" ht="54.95" customHeight="1"/>
    <row r="257" ht="54.95" customHeight="1"/>
    <row r="258" ht="54.95" customHeight="1"/>
    <row r="259" ht="54.95" customHeight="1"/>
    <row r="260" ht="54.95" customHeight="1"/>
    <row r="261" ht="54.95" customHeight="1"/>
    <row r="262" ht="54.95" customHeight="1"/>
    <row r="263" ht="54.95" customHeight="1"/>
    <row r="264" ht="54.95" customHeight="1"/>
    <row r="265" ht="54.95" customHeight="1"/>
    <row r="266" ht="54.95" customHeight="1"/>
    <row r="267" ht="54.95" customHeight="1"/>
    <row r="268" ht="54.95" customHeight="1"/>
    <row r="269" ht="54.95" customHeight="1"/>
    <row r="270" ht="54.95" customHeight="1"/>
    <row r="271" ht="54.95" customHeight="1"/>
    <row r="272" ht="54.95" customHeight="1"/>
    <row r="273" ht="54.95" customHeight="1"/>
    <row r="274" ht="54.95" customHeight="1"/>
    <row r="275" ht="54.95" customHeight="1"/>
    <row r="276" ht="54.95" customHeight="1"/>
    <row r="277" ht="54.95" customHeight="1"/>
    <row r="278" ht="54.95" customHeight="1"/>
  </sheetData>
  <mergeCells count="13">
    <mergeCell ref="A48:B48"/>
    <mergeCell ref="C48:K48"/>
    <mergeCell ref="A49:L49"/>
    <mergeCell ref="A1:M1"/>
    <mergeCell ref="B2:B3"/>
    <mergeCell ref="C2:C3"/>
    <mergeCell ref="D2:G2"/>
    <mergeCell ref="H2:H3"/>
    <mergeCell ref="I2:I3"/>
    <mergeCell ref="J2:J3"/>
    <mergeCell ref="K2:K3"/>
    <mergeCell ref="L2:L3"/>
    <mergeCell ref="M2:M3"/>
  </mergeCells>
  <pageMargins left="0.7" right="0.7" top="0.75" bottom="0.75" header="0.3" footer="0.3"/>
  <pageSetup paperSize="9" scale="71" orientation="portrait" r:id="rId1"/>
  <drawing r:id="rId2"/>
  <legacyDrawing r:id="rId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rightToLeft="1" workbookViewId="0">
      <selection activeCell="A2" sqref="A2:A17"/>
    </sheetView>
  </sheetViews>
  <sheetFormatPr defaultRowHeight="27"/>
  <cols>
    <col min="1" max="1" width="18.33203125" style="60" customWidth="1"/>
    <col min="2" max="2" width="126.6640625" style="60" customWidth="1"/>
    <col min="3" max="3" width="18.33203125" style="60" customWidth="1"/>
    <col min="4" max="16384" width="9.33203125" style="60"/>
  </cols>
  <sheetData>
    <row r="1" spans="1:3" ht="59.25" customHeight="1">
      <c r="A1" s="387" t="s">
        <v>618</v>
      </c>
      <c r="B1" s="387"/>
      <c r="C1" s="387"/>
    </row>
    <row r="2" spans="1:3" s="62" customFormat="1" ht="24.95" customHeight="1">
      <c r="A2" s="388"/>
      <c r="B2" s="61" t="str">
        <f>'[27]سیاست ها و برنامه ها '!A1</f>
        <v xml:space="preserve"> اهداف کلی 2:   ارتقاء بهداشت و تضمين كيفيت فراورده های خام دامی، خوراک دام، دارو و فراورده هاي بيولوژيك </v>
      </c>
      <c r="C2" s="389"/>
    </row>
    <row r="3" spans="1:3" s="62" customFormat="1" ht="24.95" customHeight="1">
      <c r="A3" s="388"/>
      <c r="B3" s="63" t="str">
        <f>'[27]سیاست ها و برنامه ها '!A2</f>
        <v xml:space="preserve"> راهبرد 10-2: ارتقاء بهداشت ناوگان حمل و نقل</v>
      </c>
      <c r="C3" s="389"/>
    </row>
    <row r="4" spans="1:3" s="62" customFormat="1" ht="24.95" customHeight="1">
      <c r="A4" s="388"/>
      <c r="B4" s="64" t="str">
        <f>CONCATENATE([27]روکش!A1,"  ",[27]روکش!B1)</f>
        <v xml:space="preserve"> عنوان هدف کمی:  افزايش تعداد ناوگان اختصاصي و بهداشتي حمل و نقل</v>
      </c>
      <c r="C4" s="389"/>
    </row>
    <row r="5" spans="1:3" s="62" customFormat="1" ht="24.95" customHeight="1">
      <c r="A5" s="388"/>
      <c r="B5" s="64" t="str">
        <f>CONCATENATE([27]روکش!A2,"  ",[27]روکش!B2,"                         ",[27]روکش!C2,"   ",[27]روکش!D2)</f>
        <v>عنوان سنجه عملکرد:   هزار محموله                         شاخص سنجه:   650</v>
      </c>
      <c r="C5" s="389"/>
    </row>
    <row r="6" spans="1:3" s="62" customFormat="1" ht="24.95" customHeight="1">
      <c r="A6" s="388"/>
      <c r="B6" s="64" t="s">
        <v>559</v>
      </c>
      <c r="C6" s="389"/>
    </row>
    <row r="7" spans="1:3" s="62" customFormat="1" ht="24.95" customHeight="1">
      <c r="A7" s="388"/>
      <c r="B7" s="64" t="s">
        <v>616</v>
      </c>
      <c r="C7" s="389"/>
    </row>
    <row r="8" spans="1:3" ht="24.95" customHeight="1">
      <c r="A8" s="388"/>
      <c r="B8" s="65" t="s">
        <v>608</v>
      </c>
      <c r="C8" s="389"/>
    </row>
    <row r="9" spans="1:3" s="66" customFormat="1" ht="24.95" customHeight="1">
      <c r="A9" s="388"/>
      <c r="B9" s="63" t="s">
        <v>609</v>
      </c>
      <c r="C9" s="389"/>
    </row>
    <row r="10" spans="1:3" s="68" customFormat="1" ht="24.95" customHeight="1">
      <c r="A10" s="388"/>
      <c r="B10" s="67" t="s">
        <v>610</v>
      </c>
      <c r="C10" s="389"/>
    </row>
    <row r="11" spans="1:3" s="68" customFormat="1" ht="24.95" customHeight="1">
      <c r="A11" s="388"/>
      <c r="B11" s="67" t="s">
        <v>611</v>
      </c>
      <c r="C11" s="389"/>
    </row>
    <row r="12" spans="1:3" s="68" customFormat="1" ht="24.95" customHeight="1">
      <c r="A12" s="388"/>
      <c r="B12" s="67" t="s">
        <v>475</v>
      </c>
      <c r="C12" s="389"/>
    </row>
    <row r="13" spans="1:3" s="68" customFormat="1" ht="24.95" customHeight="1">
      <c r="A13" s="388"/>
      <c r="B13" s="67" t="s">
        <v>612</v>
      </c>
      <c r="C13" s="389"/>
    </row>
    <row r="14" spans="1:3" s="68" customFormat="1" ht="24.95" customHeight="1">
      <c r="A14" s="388"/>
      <c r="B14" s="67" t="s">
        <v>613</v>
      </c>
      <c r="C14" s="389"/>
    </row>
    <row r="15" spans="1:3" ht="24.95" customHeight="1">
      <c r="A15" s="388"/>
      <c r="B15" s="69" t="s">
        <v>614</v>
      </c>
      <c r="C15" s="389"/>
    </row>
    <row r="16" spans="1:3" ht="24.95" customHeight="1">
      <c r="A16" s="388"/>
      <c r="B16" s="69" t="s">
        <v>615</v>
      </c>
      <c r="C16" s="389"/>
    </row>
    <row r="17" spans="1:3" s="70" customFormat="1" ht="24.95" customHeight="1">
      <c r="A17" s="388"/>
      <c r="B17" s="71" t="s">
        <v>617</v>
      </c>
      <c r="C17" s="389"/>
    </row>
    <row r="18" spans="1:3" ht="60.75" customHeight="1">
      <c r="A18" s="390"/>
      <c r="B18" s="390"/>
      <c r="C18" s="390"/>
    </row>
    <row r="19" spans="1:3" ht="22.5" customHeight="1"/>
    <row r="20" spans="1:3" ht="22.5" customHeight="1"/>
  </sheetData>
  <dataConsolidate/>
  <mergeCells count="4">
    <mergeCell ref="A1:C1"/>
    <mergeCell ref="A2:A17"/>
    <mergeCell ref="C2:C17"/>
    <mergeCell ref="A18:C18"/>
  </mergeCells>
  <pageMargins left="0.7" right="0.7" top="0.75" bottom="0.75" header="0.3" footer="0.3"/>
  <pageSetup paperSize="9" orientation="portrait" r:id="rId1"/>
  <drawing r:id="rId2"/>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9"/>
  <sheetViews>
    <sheetView showGridLines="0" rightToLeft="1" workbookViewId="0">
      <pane xSplit="11" topLeftCell="L1" activePane="topRight" state="frozen"/>
      <selection pane="topRight" activeCell="L3" sqref="L3"/>
    </sheetView>
  </sheetViews>
  <sheetFormatPr defaultRowHeight="18"/>
  <cols>
    <col min="1" max="1" width="15.5" customWidth="1"/>
    <col min="2" max="2" width="11.5" customWidth="1"/>
    <col min="3" max="3" width="50.6640625" customWidth="1"/>
    <col min="4" max="4" width="21.6640625" customWidth="1"/>
    <col min="5" max="10" width="9.83203125" customWidth="1"/>
    <col min="11" max="11" width="16.83203125" customWidth="1"/>
    <col min="12" max="12" width="12.1640625" customWidth="1"/>
  </cols>
  <sheetData>
    <row r="1" spans="1:11" ht="66.75" customHeight="1">
      <c r="A1" s="447" t="s">
        <v>723</v>
      </c>
      <c r="B1" s="448"/>
      <c r="C1" s="448"/>
      <c r="D1" s="448"/>
      <c r="E1" s="448"/>
      <c r="F1" s="448"/>
      <c r="G1" s="448"/>
      <c r="H1" s="448"/>
      <c r="I1" s="448"/>
      <c r="J1" s="448"/>
      <c r="K1" s="449"/>
    </row>
    <row r="2" spans="1:11" ht="75.75" customHeight="1">
      <c r="A2" s="438"/>
      <c r="B2" s="217" t="s">
        <v>0</v>
      </c>
      <c r="C2" s="218" t="s">
        <v>633</v>
      </c>
      <c r="D2" s="219" t="s">
        <v>632</v>
      </c>
      <c r="E2" s="219">
        <v>1396</v>
      </c>
      <c r="F2" s="219">
        <v>1397</v>
      </c>
      <c r="G2" s="219">
        <v>1398</v>
      </c>
      <c r="H2" s="219">
        <v>1399</v>
      </c>
      <c r="I2" s="219">
        <v>1400</v>
      </c>
      <c r="J2" s="219">
        <v>1401</v>
      </c>
      <c r="K2" s="439"/>
    </row>
    <row r="3" spans="1:11" ht="45" customHeight="1">
      <c r="A3" s="438"/>
      <c r="B3" s="282" t="s">
        <v>629</v>
      </c>
      <c r="C3" s="286" t="s">
        <v>673</v>
      </c>
      <c r="D3" s="240" t="s">
        <v>676</v>
      </c>
      <c r="E3" s="301"/>
      <c r="F3" s="301"/>
      <c r="G3" s="301"/>
      <c r="H3" s="301"/>
      <c r="I3" s="301"/>
      <c r="J3" s="301"/>
      <c r="K3" s="439"/>
    </row>
    <row r="4" spans="1:11" ht="45" customHeight="1">
      <c r="A4" s="438"/>
      <c r="B4" s="282" t="s">
        <v>630</v>
      </c>
      <c r="C4" s="286" t="s">
        <v>1391</v>
      </c>
      <c r="D4" s="240" t="s">
        <v>676</v>
      </c>
      <c r="E4" s="301"/>
      <c r="F4" s="301"/>
      <c r="G4" s="301"/>
      <c r="H4" s="301"/>
      <c r="I4" s="301"/>
      <c r="J4" s="301"/>
      <c r="K4" s="439"/>
    </row>
    <row r="5" spans="1:11" ht="45" customHeight="1">
      <c r="A5" s="438"/>
      <c r="B5" s="282" t="s">
        <v>631</v>
      </c>
      <c r="C5" s="286" t="s">
        <v>1392</v>
      </c>
      <c r="D5" s="240" t="s">
        <v>676</v>
      </c>
      <c r="E5" s="301"/>
      <c r="F5" s="301"/>
      <c r="G5" s="301"/>
      <c r="H5" s="301"/>
      <c r="I5" s="301"/>
      <c r="J5" s="301"/>
      <c r="K5" s="439"/>
    </row>
    <row r="6" spans="1:11" ht="45" customHeight="1">
      <c r="A6" s="284"/>
      <c r="B6" s="282" t="s">
        <v>642</v>
      </c>
      <c r="C6" s="286" t="s">
        <v>1388</v>
      </c>
      <c r="D6" s="240" t="s">
        <v>676</v>
      </c>
      <c r="E6" s="301"/>
      <c r="F6" s="301"/>
      <c r="G6" s="301"/>
      <c r="H6" s="301"/>
      <c r="I6" s="301"/>
      <c r="J6" s="301"/>
      <c r="K6" s="285"/>
    </row>
    <row r="7" spans="1:11" ht="45" customHeight="1">
      <c r="A7" s="284"/>
      <c r="B7" s="282" t="s">
        <v>643</v>
      </c>
      <c r="C7" s="286" t="s">
        <v>1387</v>
      </c>
      <c r="D7" s="240" t="s">
        <v>676</v>
      </c>
      <c r="E7" s="301"/>
      <c r="F7" s="301"/>
      <c r="G7" s="301"/>
      <c r="H7" s="301"/>
      <c r="I7" s="301"/>
      <c r="J7" s="301"/>
      <c r="K7" s="285"/>
    </row>
    <row r="8" spans="1:11" ht="45" customHeight="1">
      <c r="A8" s="284"/>
      <c r="B8" s="282" t="s">
        <v>656</v>
      </c>
      <c r="C8" s="286" t="s">
        <v>1389</v>
      </c>
      <c r="D8" s="240" t="s">
        <v>676</v>
      </c>
      <c r="E8" s="301"/>
      <c r="F8" s="301"/>
      <c r="G8" s="301"/>
      <c r="H8" s="301"/>
      <c r="I8" s="301"/>
      <c r="J8" s="301"/>
      <c r="K8" s="285"/>
    </row>
    <row r="9" spans="1:11" ht="45" customHeight="1">
      <c r="A9" s="284"/>
      <c r="B9" s="282" t="s">
        <v>657</v>
      </c>
      <c r="C9" s="286" t="s">
        <v>1390</v>
      </c>
      <c r="D9" s="240" t="s">
        <v>676</v>
      </c>
      <c r="E9" s="301"/>
      <c r="F9" s="301"/>
      <c r="G9" s="301"/>
      <c r="H9" s="301"/>
      <c r="I9" s="301"/>
      <c r="J9" s="301"/>
      <c r="K9" s="285"/>
    </row>
    <row r="10" spans="1:11" ht="80.25" customHeight="1">
      <c r="A10" s="397"/>
      <c r="B10" s="398"/>
      <c r="C10" s="398"/>
      <c r="D10" s="398"/>
      <c r="E10" s="398"/>
      <c r="F10" s="398"/>
      <c r="G10" s="398"/>
      <c r="H10" s="398"/>
      <c r="I10" s="398"/>
      <c r="J10" s="398"/>
      <c r="K10" s="399"/>
    </row>
    <row r="11" spans="1:11" ht="45" customHeight="1"/>
    <row r="12" spans="1:11" ht="45" customHeight="1"/>
    <row r="13" spans="1:11" ht="45" customHeight="1"/>
    <row r="14" spans="1:11" ht="45" customHeight="1"/>
    <row r="15" spans="1:11" ht="45" customHeight="1"/>
    <row r="16" spans="1:11"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row r="28" ht="45" customHeight="1"/>
    <row r="29" ht="45" customHeight="1"/>
  </sheetData>
  <mergeCells count="4">
    <mergeCell ref="A1:K1"/>
    <mergeCell ref="A2:A5"/>
    <mergeCell ref="K2:K5"/>
    <mergeCell ref="A10:K10"/>
  </mergeCells>
  <pageMargins left="0.7" right="0.7" top="0.75" bottom="0.75" header="0.3" footer="0.3"/>
  <pageSetup paperSize="9" orientation="portrait" r:id="rId1"/>
  <ignoredErrors>
    <ignoredError sqref="B3:B4 B5:B9" numberStoredAsText="1"/>
  </ignoredErrors>
  <drawing r:id="rId2"/>
  <legacyDrawing r:id="rId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rightToLeft="1" workbookViewId="0">
      <pane xSplit="7" topLeftCell="H1" activePane="topRight" state="frozen"/>
      <selection pane="topRight" sqref="A1:G1"/>
    </sheetView>
  </sheetViews>
  <sheetFormatPr defaultColWidth="25" defaultRowHeight="54.95" customHeight="1"/>
  <cols>
    <col min="1" max="1" width="10.83203125" style="147" customWidth="1"/>
    <col min="2" max="2" width="11.83203125" style="147" customWidth="1"/>
    <col min="3" max="3" width="49.83203125" style="147" customWidth="1"/>
    <col min="4" max="6" width="26.5" style="147" customWidth="1"/>
    <col min="7" max="7" width="11.6640625" style="147" customWidth="1"/>
    <col min="8" max="16384" width="25" style="147"/>
  </cols>
  <sheetData>
    <row r="1" spans="1:7" s="163" customFormat="1" ht="33" customHeight="1">
      <c r="A1" s="450" t="s">
        <v>1035</v>
      </c>
      <c r="B1" s="450"/>
      <c r="C1" s="450"/>
      <c r="D1" s="450"/>
      <c r="E1" s="450"/>
      <c r="F1" s="450"/>
      <c r="G1" s="450"/>
    </row>
    <row r="2" spans="1:7" s="163" customFormat="1" ht="33" customHeight="1">
      <c r="A2" s="450" t="s">
        <v>1036</v>
      </c>
      <c r="B2" s="450"/>
      <c r="C2" s="450"/>
      <c r="D2" s="450"/>
      <c r="E2" s="450"/>
      <c r="F2" s="450"/>
      <c r="G2" s="450"/>
    </row>
    <row r="3" spans="1:7" s="163" customFormat="1" ht="33" customHeight="1">
      <c r="A3" s="450" t="s">
        <v>1037</v>
      </c>
      <c r="B3" s="450"/>
      <c r="C3" s="450"/>
      <c r="D3" s="450"/>
      <c r="E3" s="450"/>
      <c r="F3" s="450"/>
      <c r="G3" s="450"/>
    </row>
    <row r="4" spans="1:7" s="163" customFormat="1" ht="33" customHeight="1">
      <c r="A4" s="450" t="s">
        <v>737</v>
      </c>
      <c r="B4" s="450"/>
      <c r="C4" s="450"/>
      <c r="D4" s="450"/>
      <c r="E4" s="450"/>
      <c r="F4" s="450"/>
      <c r="G4" s="450"/>
    </row>
    <row r="5" spans="1:7" ht="33" customHeight="1">
      <c r="A5" s="404" t="s">
        <v>1038</v>
      </c>
      <c r="B5" s="404"/>
      <c r="C5" s="404"/>
      <c r="D5" s="404"/>
      <c r="E5" s="404"/>
      <c r="F5" s="404"/>
      <c r="G5" s="404"/>
    </row>
    <row r="6" spans="1:7" ht="33" customHeight="1">
      <c r="A6" s="404" t="s">
        <v>1039</v>
      </c>
      <c r="B6" s="404"/>
      <c r="C6" s="404"/>
      <c r="D6" s="404"/>
      <c r="E6" s="404"/>
      <c r="F6" s="404"/>
      <c r="G6" s="404"/>
    </row>
    <row r="7" spans="1:7" ht="33" customHeight="1">
      <c r="A7" s="404" t="s">
        <v>1040</v>
      </c>
      <c r="B7" s="404"/>
      <c r="C7" s="404"/>
      <c r="D7" s="404"/>
      <c r="E7" s="404"/>
      <c r="F7" s="404"/>
      <c r="G7" s="404"/>
    </row>
    <row r="8" spans="1:7" ht="33" customHeight="1">
      <c r="A8" s="404" t="s">
        <v>1041</v>
      </c>
      <c r="B8" s="404"/>
      <c r="C8" s="404"/>
      <c r="D8" s="404"/>
      <c r="E8" s="404"/>
      <c r="F8" s="404"/>
      <c r="G8" s="404"/>
    </row>
    <row r="9" spans="1:7" ht="33" customHeight="1">
      <c r="A9" s="404" t="s">
        <v>1042</v>
      </c>
      <c r="B9" s="404"/>
      <c r="C9" s="404"/>
      <c r="D9" s="404"/>
      <c r="E9" s="404"/>
      <c r="F9" s="404"/>
      <c r="G9" s="404"/>
    </row>
    <row r="10" spans="1:7" ht="33" customHeight="1">
      <c r="A10" s="404" t="s">
        <v>1043</v>
      </c>
      <c r="B10" s="404"/>
      <c r="C10" s="404"/>
      <c r="D10" s="404"/>
      <c r="E10" s="404"/>
      <c r="F10" s="404"/>
      <c r="G10" s="404"/>
    </row>
    <row r="11" spans="1:7" ht="33" customHeight="1">
      <c r="A11" s="404" t="s">
        <v>1044</v>
      </c>
      <c r="B11" s="404"/>
      <c r="C11" s="404"/>
      <c r="D11" s="404"/>
      <c r="E11" s="404"/>
      <c r="F11" s="404"/>
      <c r="G11" s="404"/>
    </row>
    <row r="12" spans="1:7" ht="33" customHeight="1">
      <c r="A12" s="404" t="s">
        <v>1045</v>
      </c>
      <c r="B12" s="404"/>
      <c r="C12" s="404"/>
      <c r="D12" s="404"/>
      <c r="E12" s="404"/>
      <c r="F12" s="404"/>
      <c r="G12" s="404"/>
    </row>
    <row r="13" spans="1:7" ht="33" customHeight="1">
      <c r="A13" s="404" t="s">
        <v>1046</v>
      </c>
      <c r="B13" s="404"/>
      <c r="C13" s="404"/>
      <c r="D13" s="404"/>
      <c r="E13" s="404"/>
      <c r="F13" s="404"/>
      <c r="G13" s="404"/>
    </row>
    <row r="14" spans="1:7" ht="33" customHeight="1">
      <c r="A14" s="404" t="s">
        <v>1047</v>
      </c>
      <c r="B14" s="404"/>
      <c r="C14" s="404"/>
      <c r="D14" s="404"/>
      <c r="E14" s="404"/>
      <c r="F14" s="404"/>
      <c r="G14" s="404"/>
    </row>
    <row r="15" spans="1:7" ht="33" customHeight="1">
      <c r="A15" s="404" t="s">
        <v>1048</v>
      </c>
      <c r="B15" s="404"/>
      <c r="C15" s="404"/>
      <c r="D15" s="404"/>
      <c r="E15" s="404"/>
      <c r="F15" s="404"/>
      <c r="G15" s="404"/>
    </row>
    <row r="16" spans="1:7" ht="33" customHeight="1">
      <c r="A16" s="404" t="s">
        <v>1049</v>
      </c>
      <c r="B16" s="404"/>
      <c r="C16" s="404"/>
      <c r="D16" s="404"/>
      <c r="E16" s="404"/>
      <c r="F16" s="404"/>
      <c r="G16" s="404"/>
    </row>
    <row r="17" spans="1:7" ht="33" customHeight="1">
      <c r="A17" s="404" t="s">
        <v>1050</v>
      </c>
      <c r="B17" s="404"/>
      <c r="C17" s="404"/>
      <c r="D17" s="404"/>
      <c r="E17" s="404"/>
      <c r="F17" s="404"/>
      <c r="G17" s="404"/>
    </row>
    <row r="18" spans="1:7" ht="33" customHeight="1">
      <c r="A18" s="404" t="s">
        <v>1051</v>
      </c>
      <c r="B18" s="404"/>
      <c r="C18" s="404"/>
      <c r="D18" s="404"/>
      <c r="E18" s="404"/>
      <c r="F18" s="404"/>
      <c r="G18" s="404"/>
    </row>
    <row r="19" spans="1:7" ht="33" customHeight="1">
      <c r="A19" s="404" t="s">
        <v>1052</v>
      </c>
      <c r="B19" s="404"/>
      <c r="C19" s="404"/>
      <c r="D19" s="404"/>
      <c r="E19" s="404"/>
      <c r="F19" s="404"/>
      <c r="G19" s="404"/>
    </row>
    <row r="20" spans="1:7" ht="33" customHeight="1">
      <c r="A20" s="404" t="s">
        <v>1053</v>
      </c>
      <c r="B20" s="404"/>
      <c r="C20" s="404"/>
      <c r="D20" s="404"/>
      <c r="E20" s="404"/>
      <c r="F20" s="404"/>
      <c r="G20" s="404"/>
    </row>
    <row r="21" spans="1:7" s="146" customFormat="1" ht="47.25" customHeight="1">
      <c r="A21" s="408"/>
      <c r="B21" s="269" t="s">
        <v>0</v>
      </c>
      <c r="C21" s="293" t="s">
        <v>626</v>
      </c>
      <c r="D21" s="224" t="s">
        <v>758</v>
      </c>
      <c r="E21" s="224" t="s">
        <v>759</v>
      </c>
      <c r="F21" s="224" t="s">
        <v>760</v>
      </c>
      <c r="G21" s="409"/>
    </row>
    <row r="22" spans="1:7" s="146" customFormat="1" ht="50.1" customHeight="1">
      <c r="A22" s="408"/>
      <c r="B22" s="259" t="s">
        <v>1054</v>
      </c>
      <c r="C22" s="270" t="s">
        <v>673</v>
      </c>
      <c r="D22" s="227" t="s">
        <v>1055</v>
      </c>
      <c r="E22" s="227">
        <v>10600</v>
      </c>
      <c r="F22" s="227">
        <f>E22+(E22*27.03%)</f>
        <v>13465.18</v>
      </c>
      <c r="G22" s="409"/>
    </row>
    <row r="23" spans="1:7" s="146" customFormat="1" ht="50.1" customHeight="1">
      <c r="A23" s="408"/>
      <c r="B23" s="259" t="s">
        <v>1056</v>
      </c>
      <c r="C23" s="270" t="s">
        <v>674</v>
      </c>
      <c r="D23" s="227" t="s">
        <v>1055</v>
      </c>
      <c r="E23" s="227">
        <v>23000</v>
      </c>
      <c r="F23" s="227">
        <f>E23+(E23*27%)</f>
        <v>29210</v>
      </c>
      <c r="G23" s="409"/>
    </row>
    <row r="24" spans="1:7" s="146" customFormat="1" ht="50.1" customHeight="1">
      <c r="A24" s="408"/>
      <c r="B24" s="259" t="s">
        <v>1057</v>
      </c>
      <c r="C24" s="270" t="s">
        <v>1058</v>
      </c>
      <c r="D24" s="227" t="s">
        <v>1059</v>
      </c>
      <c r="E24" s="294">
        <f>('[28]عملیات-فعالیت ها  '!J4+'[28]عملیات-فعالیت ها  '!J5)*80%</f>
        <v>777322.4</v>
      </c>
      <c r="F24" s="294">
        <f>E24+(E24*25%)</f>
        <v>971653</v>
      </c>
      <c r="G24" s="409"/>
    </row>
    <row r="25" spans="1:7" s="146" customFormat="1" ht="50.1" customHeight="1">
      <c r="A25" s="408"/>
      <c r="B25" s="259" t="s">
        <v>1060</v>
      </c>
      <c r="C25" s="270" t="s">
        <v>1061</v>
      </c>
      <c r="D25" s="227" t="s">
        <v>1059</v>
      </c>
      <c r="E25" s="294">
        <f>(('[28]عملیات-فعالیت ها  '!J4+'[28]عملیات-فعالیت ها  '!J5)*20%)+'[28]عملیات-فعالیت ها  '!J6+'[28]عملیات-فعالیت ها  '!J7+'[28]عملیات-فعالیت ها  '!J8</f>
        <v>234740.6</v>
      </c>
      <c r="F25" s="294">
        <f>E25+(E25*25%)</f>
        <v>293425.75</v>
      </c>
      <c r="G25" s="409"/>
    </row>
    <row r="26" spans="1:7" s="146" customFormat="1" ht="50.1" customHeight="1">
      <c r="A26" s="408"/>
      <c r="B26" s="259" t="s">
        <v>1062</v>
      </c>
      <c r="C26" s="270" t="s">
        <v>1063</v>
      </c>
      <c r="D26" s="227" t="s">
        <v>2</v>
      </c>
      <c r="E26" s="227">
        <v>83</v>
      </c>
      <c r="F26" s="294">
        <f>E26+(E26*25%)</f>
        <v>103.75</v>
      </c>
      <c r="G26" s="409"/>
    </row>
    <row r="27" spans="1:7" s="146" customFormat="1" ht="50.1" customHeight="1">
      <c r="A27" s="408"/>
      <c r="B27" s="259" t="s">
        <v>1064</v>
      </c>
      <c r="C27" s="270" t="s">
        <v>1065</v>
      </c>
      <c r="D27" s="227" t="s">
        <v>2</v>
      </c>
      <c r="E27" s="227">
        <v>90</v>
      </c>
      <c r="F27" s="294">
        <f>E27+(E27*25%)</f>
        <v>112.5</v>
      </c>
      <c r="G27" s="409"/>
    </row>
    <row r="28" spans="1:7" s="146" customFormat="1" ht="50.1" customHeight="1">
      <c r="A28" s="408"/>
      <c r="B28" s="259" t="s">
        <v>1066</v>
      </c>
      <c r="C28" s="270" t="s">
        <v>1067</v>
      </c>
      <c r="D28" s="227" t="s">
        <v>1068</v>
      </c>
      <c r="E28" s="295">
        <v>0.75</v>
      </c>
      <c r="F28" s="295">
        <v>1</v>
      </c>
      <c r="G28" s="409"/>
    </row>
    <row r="29" spans="1:7" s="146" customFormat="1" ht="95.25" customHeight="1">
      <c r="A29" s="408"/>
      <c r="B29" s="259" t="s">
        <v>1069</v>
      </c>
      <c r="C29" s="270" t="s">
        <v>1070</v>
      </c>
      <c r="D29" s="227" t="s">
        <v>1059</v>
      </c>
      <c r="E29" s="296">
        <v>3200</v>
      </c>
      <c r="F29" s="227">
        <f>E29+(E29*25%)</f>
        <v>4000</v>
      </c>
      <c r="G29" s="409"/>
    </row>
    <row r="30" spans="1:7" s="146" customFormat="1" ht="95.25" customHeight="1">
      <c r="A30" s="408"/>
      <c r="B30" s="259" t="s">
        <v>1071</v>
      </c>
      <c r="C30" s="270" t="s">
        <v>1072</v>
      </c>
      <c r="D30" s="227" t="s">
        <v>1073</v>
      </c>
      <c r="E30" s="296">
        <v>70</v>
      </c>
      <c r="F30" s="294">
        <f>E30+(E30*25%)</f>
        <v>87.5</v>
      </c>
      <c r="G30" s="409"/>
    </row>
    <row r="31" spans="1:7" s="146" customFormat="1" ht="95.25" customHeight="1">
      <c r="A31" s="408"/>
      <c r="B31" s="259" t="s">
        <v>1074</v>
      </c>
      <c r="C31" s="270" t="s">
        <v>1075</v>
      </c>
      <c r="D31" s="227" t="s">
        <v>993</v>
      </c>
      <c r="E31" s="296">
        <v>300</v>
      </c>
      <c r="F31" s="296">
        <v>2000</v>
      </c>
      <c r="G31" s="409"/>
    </row>
    <row r="32" spans="1:7" s="146" customFormat="1" ht="95.25" customHeight="1">
      <c r="A32" s="408"/>
      <c r="B32" s="259" t="s">
        <v>1076</v>
      </c>
      <c r="C32" s="270" t="s">
        <v>675</v>
      </c>
      <c r="D32" s="227" t="s">
        <v>1055</v>
      </c>
      <c r="E32" s="296">
        <v>0</v>
      </c>
      <c r="F32" s="296">
        <v>1000</v>
      </c>
      <c r="G32" s="409"/>
    </row>
    <row r="33" spans="1:7" ht="65.099999999999994" customHeight="1">
      <c r="A33" s="406"/>
      <c r="B33" s="406"/>
      <c r="C33" s="406"/>
      <c r="D33" s="406"/>
      <c r="E33" s="406"/>
      <c r="F33" s="406"/>
      <c r="G33" s="407"/>
    </row>
  </sheetData>
  <mergeCells count="23">
    <mergeCell ref="A33:G33"/>
    <mergeCell ref="A19:G19"/>
    <mergeCell ref="A20:G20"/>
    <mergeCell ref="A21:A32"/>
    <mergeCell ref="G21:G32"/>
    <mergeCell ref="A18:G18"/>
    <mergeCell ref="A7:G7"/>
    <mergeCell ref="A8:G8"/>
    <mergeCell ref="A9:G9"/>
    <mergeCell ref="A10:G10"/>
    <mergeCell ref="A11:G11"/>
    <mergeCell ref="A12:G12"/>
    <mergeCell ref="A13:G13"/>
    <mergeCell ref="A14:G14"/>
    <mergeCell ref="A15:G15"/>
    <mergeCell ref="A16:G16"/>
    <mergeCell ref="A17:G17"/>
    <mergeCell ref="A6:G6"/>
    <mergeCell ref="A1:G1"/>
    <mergeCell ref="A2:G2"/>
    <mergeCell ref="A3:G3"/>
    <mergeCell ref="A4:G4"/>
    <mergeCell ref="A5:G5"/>
  </mergeCells>
  <printOptions headings="1"/>
  <pageMargins left="0.7" right="0.7" top="0.75" bottom="0.75" header="0.3" footer="0.3"/>
  <pageSetup paperSize="9" scale="60" orientation="portrait" r:id="rId1"/>
  <rowBreaks count="1" manualBreakCount="1">
    <brk id="32" max="16383" man="1"/>
  </rowBreaks>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1"/>
  <sheetViews>
    <sheetView showGridLines="0" rightToLeft="1" workbookViewId="0">
      <pane xSplit="14" topLeftCell="O1" activePane="topRight" state="frozen"/>
      <selection activeCell="F12" sqref="F12"/>
      <selection pane="topRight" sqref="A1:N1"/>
    </sheetView>
  </sheetViews>
  <sheetFormatPr defaultColWidth="10.6640625" defaultRowHeight="35.1" customHeight="1"/>
  <cols>
    <col min="1" max="1" width="7.6640625" style="35" customWidth="1"/>
    <col min="2" max="2" width="27.5" style="35" customWidth="1"/>
    <col min="3" max="3" width="13.1640625" style="35" customWidth="1"/>
    <col min="4" max="4" width="13.1640625" style="52" customWidth="1"/>
    <col min="5" max="13" width="10.1640625" style="52" customWidth="1"/>
    <col min="14" max="14" width="10.6640625" style="53" customWidth="1"/>
    <col min="15" max="18" width="8.6640625" style="32" customWidth="1"/>
    <col min="19" max="19" width="8.6640625" style="33" customWidth="1"/>
    <col min="20" max="20" width="13.33203125" style="34" customWidth="1"/>
    <col min="21" max="21" width="10.6640625" style="33"/>
    <col min="22" max="16384" width="10.6640625" style="35"/>
  </cols>
  <sheetData>
    <row r="1" spans="1:21" ht="42" customHeight="1">
      <c r="A1" s="443" t="s">
        <v>114</v>
      </c>
      <c r="B1" s="443"/>
      <c r="C1" s="443"/>
      <c r="D1" s="443"/>
      <c r="E1" s="443"/>
      <c r="F1" s="443"/>
      <c r="G1" s="443"/>
      <c r="H1" s="443"/>
      <c r="I1" s="443"/>
      <c r="J1" s="443"/>
      <c r="K1" s="443"/>
      <c r="L1" s="443"/>
      <c r="M1" s="443"/>
      <c r="N1" s="443"/>
    </row>
    <row r="2" spans="1:21" s="38" customFormat="1" ht="25.5" customHeight="1">
      <c r="A2" s="374" t="s">
        <v>0</v>
      </c>
      <c r="B2" s="374" t="s">
        <v>11</v>
      </c>
      <c r="C2" s="374" t="s">
        <v>102</v>
      </c>
      <c r="D2" s="375" t="s">
        <v>103</v>
      </c>
      <c r="E2" s="375" t="s">
        <v>104</v>
      </c>
      <c r="F2" s="375"/>
      <c r="G2" s="375"/>
      <c r="H2" s="375"/>
      <c r="I2" s="375"/>
      <c r="J2" s="375" t="s">
        <v>105</v>
      </c>
      <c r="K2" s="375"/>
      <c r="L2" s="375"/>
      <c r="M2" s="375"/>
      <c r="N2" s="375"/>
      <c r="O2" s="32"/>
      <c r="P2" s="32"/>
      <c r="Q2" s="32"/>
      <c r="R2" s="32"/>
      <c r="S2" s="36"/>
      <c r="T2" s="37"/>
      <c r="U2" s="36"/>
    </row>
    <row r="3" spans="1:21" s="38" customFormat="1" ht="20.100000000000001" customHeight="1">
      <c r="A3" s="374"/>
      <c r="B3" s="374"/>
      <c r="C3" s="374"/>
      <c r="D3" s="375"/>
      <c r="E3" s="375" t="s">
        <v>106</v>
      </c>
      <c r="F3" s="375"/>
      <c r="G3" s="461">
        <v>1397</v>
      </c>
      <c r="H3" s="461">
        <v>1398</v>
      </c>
      <c r="I3" s="461">
        <v>1399</v>
      </c>
      <c r="J3" s="461">
        <v>1400</v>
      </c>
      <c r="K3" s="461">
        <v>1401</v>
      </c>
      <c r="L3" s="461">
        <v>1402</v>
      </c>
      <c r="M3" s="461">
        <v>1403</v>
      </c>
      <c r="N3" s="461">
        <v>1404</v>
      </c>
      <c r="O3" s="32"/>
      <c r="P3" s="32"/>
      <c r="Q3" s="32"/>
      <c r="R3" s="32"/>
      <c r="S3" s="36"/>
      <c r="T3" s="37"/>
      <c r="U3" s="36"/>
    </row>
    <row r="4" spans="1:21" s="87" customFormat="1" ht="21.75" customHeight="1">
      <c r="A4" s="374"/>
      <c r="B4" s="374"/>
      <c r="C4" s="374"/>
      <c r="D4" s="375"/>
      <c r="E4" s="275">
        <v>1395</v>
      </c>
      <c r="F4" s="275">
        <v>1396</v>
      </c>
      <c r="G4" s="461"/>
      <c r="H4" s="461"/>
      <c r="I4" s="461"/>
      <c r="J4" s="461"/>
      <c r="K4" s="461"/>
      <c r="L4" s="461"/>
      <c r="M4" s="461"/>
      <c r="N4" s="461"/>
      <c r="O4" s="83"/>
      <c r="P4" s="83"/>
      <c r="Q4" s="84"/>
      <c r="R4" s="83"/>
      <c r="S4" s="85"/>
      <c r="T4" s="86"/>
      <c r="U4" s="85"/>
    </row>
    <row r="5" spans="1:21" s="87" customFormat="1" ht="30" customHeight="1">
      <c r="A5" s="279">
        <v>1</v>
      </c>
      <c r="B5" s="205" t="s">
        <v>14</v>
      </c>
      <c r="C5" s="206">
        <f>$A$200*'[29]نرخ تسهیم'!L3</f>
        <v>15023.85460027786</v>
      </c>
      <c r="D5" s="207">
        <f>C5*1.05</f>
        <v>15775.047330291754</v>
      </c>
      <c r="E5" s="207">
        <f t="shared" ref="E5:N5" si="0">D5*1.05</f>
        <v>16563.799696806342</v>
      </c>
      <c r="F5" s="207">
        <f t="shared" si="0"/>
        <v>17391.989681646661</v>
      </c>
      <c r="G5" s="207">
        <f t="shared" si="0"/>
        <v>18261.589165728994</v>
      </c>
      <c r="H5" s="207">
        <f t="shared" si="0"/>
        <v>19174.668624015445</v>
      </c>
      <c r="I5" s="207">
        <f t="shared" si="0"/>
        <v>20133.402055216218</v>
      </c>
      <c r="J5" s="207">
        <f t="shared" si="0"/>
        <v>21140.072157977029</v>
      </c>
      <c r="K5" s="207">
        <f t="shared" si="0"/>
        <v>22197.075765875881</v>
      </c>
      <c r="L5" s="207">
        <f t="shared" si="0"/>
        <v>23306.929554169677</v>
      </c>
      <c r="M5" s="207">
        <f t="shared" si="0"/>
        <v>24472.276031878162</v>
      </c>
      <c r="N5" s="207">
        <f t="shared" si="0"/>
        <v>25695.889833472072</v>
      </c>
      <c r="O5" s="83"/>
      <c r="P5" s="83"/>
      <c r="Q5" s="84"/>
      <c r="R5" s="84"/>
      <c r="S5" s="84"/>
      <c r="T5" s="86"/>
      <c r="U5" s="85"/>
    </row>
    <row r="6" spans="1:21" s="87" customFormat="1" ht="30" customHeight="1">
      <c r="A6" s="279">
        <v>2</v>
      </c>
      <c r="B6" s="205" t="s">
        <v>15</v>
      </c>
      <c r="C6" s="206">
        <f>$A$200*'[29]نرخ تسهیم'!L4</f>
        <v>17013.458535360853</v>
      </c>
      <c r="D6" s="207">
        <f t="shared" ref="D6:N21" si="1">C6*1.05</f>
        <v>17864.131462128895</v>
      </c>
      <c r="E6" s="207">
        <f t="shared" si="1"/>
        <v>18757.338035235342</v>
      </c>
      <c r="F6" s="207">
        <f t="shared" si="1"/>
        <v>19695.20493699711</v>
      </c>
      <c r="G6" s="207">
        <f t="shared" si="1"/>
        <v>20679.965183846965</v>
      </c>
      <c r="H6" s="207">
        <f t="shared" si="1"/>
        <v>21713.963443039316</v>
      </c>
      <c r="I6" s="207">
        <f t="shared" si="1"/>
        <v>22799.661615191282</v>
      </c>
      <c r="J6" s="207">
        <f t="shared" si="1"/>
        <v>23939.644695950847</v>
      </c>
      <c r="K6" s="207">
        <f t="shared" si="1"/>
        <v>25136.626930748389</v>
      </c>
      <c r="L6" s="207">
        <f t="shared" si="1"/>
        <v>26393.458277285808</v>
      </c>
      <c r="M6" s="207">
        <f t="shared" si="1"/>
        <v>27713.1311911501</v>
      </c>
      <c r="N6" s="207">
        <f t="shared" si="1"/>
        <v>29098.787750707605</v>
      </c>
      <c r="O6" s="83"/>
      <c r="P6" s="83"/>
      <c r="Q6" s="84"/>
      <c r="R6" s="84"/>
      <c r="S6" s="84"/>
      <c r="T6" s="86"/>
      <c r="U6" s="85"/>
    </row>
    <row r="7" spans="1:21" s="87" customFormat="1" ht="30" customHeight="1">
      <c r="A7" s="279">
        <v>3</v>
      </c>
      <c r="B7" s="205" t="s">
        <v>16</v>
      </c>
      <c r="C7" s="206">
        <f>$A$200*'[29]نرخ تسهیم'!L5</f>
        <v>4312.5593135067884</v>
      </c>
      <c r="D7" s="207">
        <f t="shared" si="1"/>
        <v>4528.1872791821279</v>
      </c>
      <c r="E7" s="207">
        <f t="shared" si="1"/>
        <v>4754.5966431412344</v>
      </c>
      <c r="F7" s="207">
        <f t="shared" si="1"/>
        <v>4992.3264752982959</v>
      </c>
      <c r="G7" s="207">
        <f t="shared" si="1"/>
        <v>5241.9427990632112</v>
      </c>
      <c r="H7" s="207">
        <f t="shared" si="1"/>
        <v>5504.039939016372</v>
      </c>
      <c r="I7" s="207">
        <f t="shared" si="1"/>
        <v>5779.2419359671912</v>
      </c>
      <c r="J7" s="207">
        <f t="shared" si="1"/>
        <v>6068.2040327655513</v>
      </c>
      <c r="K7" s="207">
        <f t="shared" si="1"/>
        <v>6371.614234403829</v>
      </c>
      <c r="L7" s="207">
        <f t="shared" si="1"/>
        <v>6690.194946124021</v>
      </c>
      <c r="M7" s="207">
        <f t="shared" si="1"/>
        <v>7024.7046934302225</v>
      </c>
      <c r="N7" s="207">
        <f t="shared" si="1"/>
        <v>7375.939928101734</v>
      </c>
      <c r="O7" s="83"/>
      <c r="P7" s="83"/>
      <c r="Q7" s="84"/>
      <c r="R7" s="84"/>
      <c r="S7" s="84"/>
      <c r="T7" s="86"/>
      <c r="U7" s="85"/>
    </row>
    <row r="8" spans="1:21" s="87" customFormat="1" ht="30" customHeight="1">
      <c r="A8" s="279">
        <v>4</v>
      </c>
      <c r="B8" s="205" t="s">
        <v>17</v>
      </c>
      <c r="C8" s="206">
        <f>$A$200*'[29]نرخ تسهیم'!L6</f>
        <v>22605.14063753164</v>
      </c>
      <c r="D8" s="207">
        <f t="shared" si="1"/>
        <v>23735.397669408223</v>
      </c>
      <c r="E8" s="207">
        <f t="shared" si="1"/>
        <v>24922.167552878636</v>
      </c>
      <c r="F8" s="207">
        <f t="shared" si="1"/>
        <v>26168.27593052257</v>
      </c>
      <c r="G8" s="207">
        <f t="shared" si="1"/>
        <v>27476.689727048699</v>
      </c>
      <c r="H8" s="207">
        <f t="shared" si="1"/>
        <v>28850.524213401135</v>
      </c>
      <c r="I8" s="207">
        <f t="shared" si="1"/>
        <v>30293.050424071193</v>
      </c>
      <c r="J8" s="207">
        <f t="shared" si="1"/>
        <v>31807.702945274752</v>
      </c>
      <c r="K8" s="207">
        <f t="shared" si="1"/>
        <v>33398.088092538492</v>
      </c>
      <c r="L8" s="207">
        <f t="shared" si="1"/>
        <v>35067.992497165418</v>
      </c>
      <c r="M8" s="207">
        <f t="shared" si="1"/>
        <v>36821.392122023688</v>
      </c>
      <c r="N8" s="207">
        <f t="shared" si="1"/>
        <v>38662.461728124872</v>
      </c>
      <c r="O8" s="83"/>
      <c r="P8" s="83"/>
      <c r="Q8" s="84"/>
      <c r="R8" s="84"/>
      <c r="S8" s="84"/>
      <c r="T8" s="86"/>
      <c r="U8" s="85"/>
    </row>
    <row r="9" spans="1:21" s="87" customFormat="1" ht="30" customHeight="1">
      <c r="A9" s="279">
        <v>5</v>
      </c>
      <c r="B9" s="205" t="s">
        <v>18</v>
      </c>
      <c r="C9" s="206">
        <f>$A$200*'[29]نرخ تسهیم'!L7</f>
        <v>15036.32799744966</v>
      </c>
      <c r="D9" s="207">
        <f t="shared" si="1"/>
        <v>15788.144397322143</v>
      </c>
      <c r="E9" s="207">
        <f t="shared" si="1"/>
        <v>16577.551617188252</v>
      </c>
      <c r="F9" s="207">
        <f t="shared" si="1"/>
        <v>17406.429198047666</v>
      </c>
      <c r="G9" s="207">
        <f t="shared" si="1"/>
        <v>18276.750657950051</v>
      </c>
      <c r="H9" s="207">
        <f t="shared" si="1"/>
        <v>19190.588190847553</v>
      </c>
      <c r="I9" s="207">
        <f t="shared" si="1"/>
        <v>20150.117600389931</v>
      </c>
      <c r="J9" s="207">
        <f t="shared" si="1"/>
        <v>21157.623480409427</v>
      </c>
      <c r="K9" s="207">
        <f t="shared" si="1"/>
        <v>22215.5046544299</v>
      </c>
      <c r="L9" s="207">
        <f t="shared" si="1"/>
        <v>23326.279887151395</v>
      </c>
      <c r="M9" s="207">
        <f t="shared" si="1"/>
        <v>24492.593881508965</v>
      </c>
      <c r="N9" s="207">
        <f t="shared" si="1"/>
        <v>25717.223575584416</v>
      </c>
      <c r="O9" s="83"/>
      <c r="P9" s="83"/>
      <c r="Q9" s="84"/>
      <c r="R9" s="84"/>
      <c r="S9" s="84"/>
      <c r="T9" s="86"/>
      <c r="U9" s="85"/>
    </row>
    <row r="10" spans="1:21" s="87" customFormat="1" ht="30" customHeight="1">
      <c r="A10" s="279">
        <v>6</v>
      </c>
      <c r="B10" s="205" t="s">
        <v>19</v>
      </c>
      <c r="C10" s="206">
        <f>$A$200*'[29]نرخ تسهیم'!L8</f>
        <v>12459.499454476432</v>
      </c>
      <c r="D10" s="207">
        <f t="shared" si="1"/>
        <v>13082.474427200254</v>
      </c>
      <c r="E10" s="207">
        <f t="shared" si="1"/>
        <v>13736.598148560266</v>
      </c>
      <c r="F10" s="207">
        <f t="shared" si="1"/>
        <v>14423.428055988279</v>
      </c>
      <c r="G10" s="207">
        <f t="shared" si="1"/>
        <v>15144.599458787694</v>
      </c>
      <c r="H10" s="207">
        <f t="shared" si="1"/>
        <v>15901.829431727079</v>
      </c>
      <c r="I10" s="207">
        <f t="shared" si="1"/>
        <v>16696.920903313436</v>
      </c>
      <c r="J10" s="207">
        <f t="shared" si="1"/>
        <v>17531.766948479108</v>
      </c>
      <c r="K10" s="207">
        <f t="shared" si="1"/>
        <v>18408.355295903064</v>
      </c>
      <c r="L10" s="207">
        <f t="shared" si="1"/>
        <v>19328.773060698219</v>
      </c>
      <c r="M10" s="207">
        <f t="shared" si="1"/>
        <v>20295.21171373313</v>
      </c>
      <c r="N10" s="207">
        <f t="shared" si="1"/>
        <v>21309.972299419787</v>
      </c>
      <c r="O10" s="83"/>
      <c r="P10" s="83"/>
      <c r="Q10" s="84"/>
      <c r="R10" s="84"/>
      <c r="S10" s="84"/>
      <c r="T10" s="86"/>
      <c r="U10" s="85"/>
    </row>
    <row r="11" spans="1:21" s="87" customFormat="1" ht="30" customHeight="1">
      <c r="A11" s="279">
        <v>7</v>
      </c>
      <c r="B11" s="205" t="s">
        <v>20</v>
      </c>
      <c r="C11" s="206">
        <f>$A$200*'[29]نرخ تسهیم'!L9</f>
        <v>3997.3737236912034</v>
      </c>
      <c r="D11" s="207">
        <f t="shared" si="1"/>
        <v>4197.2424098757638</v>
      </c>
      <c r="E11" s="207">
        <f t="shared" si="1"/>
        <v>4407.1045303695519</v>
      </c>
      <c r="F11" s="207">
        <f t="shared" si="1"/>
        <v>4627.4597568880299</v>
      </c>
      <c r="G11" s="207">
        <f t="shared" si="1"/>
        <v>4858.8327447324318</v>
      </c>
      <c r="H11" s="207">
        <f t="shared" si="1"/>
        <v>5101.774381969054</v>
      </c>
      <c r="I11" s="207">
        <f t="shared" si="1"/>
        <v>5356.8631010675072</v>
      </c>
      <c r="J11" s="207">
        <f t="shared" si="1"/>
        <v>5624.7062561208832</v>
      </c>
      <c r="K11" s="207">
        <f t="shared" si="1"/>
        <v>5905.9415689269272</v>
      </c>
      <c r="L11" s="207">
        <f t="shared" si="1"/>
        <v>6201.238647373274</v>
      </c>
      <c r="M11" s="207">
        <f t="shared" si="1"/>
        <v>6511.3005797419382</v>
      </c>
      <c r="N11" s="207">
        <f t="shared" si="1"/>
        <v>6836.8656087290356</v>
      </c>
      <c r="O11" s="83"/>
      <c r="P11" s="83"/>
      <c r="Q11" s="84"/>
      <c r="R11" s="84"/>
      <c r="S11" s="84"/>
      <c r="T11" s="86"/>
      <c r="U11" s="85"/>
    </row>
    <row r="12" spans="1:21" s="87" customFormat="1" ht="30" customHeight="1">
      <c r="A12" s="279">
        <v>8</v>
      </c>
      <c r="B12" s="205" t="s">
        <v>21</v>
      </c>
      <c r="C12" s="206">
        <f>$A$200*'[29]نرخ تسهیم'!L10</f>
        <v>28847.688292859104</v>
      </c>
      <c r="D12" s="207">
        <f t="shared" si="1"/>
        <v>30290.072707502062</v>
      </c>
      <c r="E12" s="207">
        <f t="shared" si="1"/>
        <v>31804.576342877168</v>
      </c>
      <c r="F12" s="207">
        <f t="shared" si="1"/>
        <v>33394.805160021031</v>
      </c>
      <c r="G12" s="207">
        <f t="shared" si="1"/>
        <v>35064.545418022084</v>
      </c>
      <c r="H12" s="207">
        <f t="shared" si="1"/>
        <v>36817.772688923193</v>
      </c>
      <c r="I12" s="207">
        <f t="shared" si="1"/>
        <v>38658.661323369357</v>
      </c>
      <c r="J12" s="207">
        <f t="shared" si="1"/>
        <v>40591.59438953783</v>
      </c>
      <c r="K12" s="207">
        <f t="shared" si="1"/>
        <v>42621.174109014726</v>
      </c>
      <c r="L12" s="207">
        <f t="shared" si="1"/>
        <v>44752.232814465468</v>
      </c>
      <c r="M12" s="207">
        <f t="shared" si="1"/>
        <v>46989.844455188744</v>
      </c>
      <c r="N12" s="207">
        <f t="shared" si="1"/>
        <v>49339.33667794818</v>
      </c>
      <c r="O12" s="83"/>
      <c r="P12" s="83"/>
      <c r="Q12" s="84"/>
      <c r="R12" s="84"/>
      <c r="S12" s="84"/>
      <c r="T12" s="86"/>
      <c r="U12" s="85"/>
    </row>
    <row r="13" spans="1:21" s="87" customFormat="1" ht="30" customHeight="1">
      <c r="A13" s="279">
        <v>9</v>
      </c>
      <c r="B13" s="205" t="s">
        <v>22</v>
      </c>
      <c r="C13" s="206">
        <f>$A$200*'[29]نرخ تسهیم'!L11</f>
        <v>2874.0001790662755</v>
      </c>
      <c r="D13" s="207">
        <f t="shared" si="1"/>
        <v>3017.7001880195894</v>
      </c>
      <c r="E13" s="207">
        <f t="shared" si="1"/>
        <v>3168.5851974205689</v>
      </c>
      <c r="F13" s="207">
        <f t="shared" si="1"/>
        <v>3327.0144572915974</v>
      </c>
      <c r="G13" s="207">
        <f t="shared" si="1"/>
        <v>3493.3651801561773</v>
      </c>
      <c r="H13" s="207">
        <f t="shared" si="1"/>
        <v>3668.0334391639863</v>
      </c>
      <c r="I13" s="207">
        <f t="shared" si="1"/>
        <v>3851.4351111221858</v>
      </c>
      <c r="J13" s="207">
        <f t="shared" si="1"/>
        <v>4044.0068666782954</v>
      </c>
      <c r="K13" s="207">
        <f t="shared" si="1"/>
        <v>4246.2072100122105</v>
      </c>
      <c r="L13" s="207">
        <f t="shared" si="1"/>
        <v>4458.5175705128213</v>
      </c>
      <c r="M13" s="207">
        <f t="shared" si="1"/>
        <v>4681.4434490384629</v>
      </c>
      <c r="N13" s="207">
        <f t="shared" si="1"/>
        <v>4915.5156214903864</v>
      </c>
      <c r="O13" s="83"/>
      <c r="P13" s="83"/>
      <c r="Q13" s="84"/>
      <c r="R13" s="84"/>
      <c r="S13" s="84"/>
      <c r="T13" s="86"/>
      <c r="U13" s="85"/>
    </row>
    <row r="14" spans="1:21" s="87" customFormat="1" ht="30" customHeight="1">
      <c r="A14" s="279">
        <v>10</v>
      </c>
      <c r="B14" s="205" t="s">
        <v>23</v>
      </c>
      <c r="C14" s="206">
        <f>$A$200*'[29]نرخ تسهیم'!L12</f>
        <v>6690.3436623429734</v>
      </c>
      <c r="D14" s="207">
        <f t="shared" si="1"/>
        <v>7024.8608454601226</v>
      </c>
      <c r="E14" s="207">
        <f t="shared" si="1"/>
        <v>7376.1038877331293</v>
      </c>
      <c r="F14" s="207">
        <f t="shared" si="1"/>
        <v>7744.909082119786</v>
      </c>
      <c r="G14" s="207">
        <f t="shared" si="1"/>
        <v>8132.1545362257757</v>
      </c>
      <c r="H14" s="207">
        <f t="shared" si="1"/>
        <v>8538.7622630370643</v>
      </c>
      <c r="I14" s="207">
        <f t="shared" si="1"/>
        <v>8965.7003761889173</v>
      </c>
      <c r="J14" s="207">
        <f t="shared" si="1"/>
        <v>9413.9853949983644</v>
      </c>
      <c r="K14" s="207">
        <f t="shared" si="1"/>
        <v>9884.6846647482835</v>
      </c>
      <c r="L14" s="207">
        <f t="shared" si="1"/>
        <v>10378.918897985697</v>
      </c>
      <c r="M14" s="207">
        <f t="shared" si="1"/>
        <v>10897.864842884983</v>
      </c>
      <c r="N14" s="207">
        <f t="shared" si="1"/>
        <v>11442.758085029232</v>
      </c>
      <c r="O14" s="83"/>
      <c r="P14" s="83"/>
      <c r="Q14" s="84"/>
      <c r="R14" s="84"/>
      <c r="S14" s="84"/>
      <c r="T14" s="86"/>
      <c r="U14" s="85"/>
    </row>
    <row r="15" spans="1:21" s="87" customFormat="1" ht="30" customHeight="1">
      <c r="A15" s="279">
        <v>11</v>
      </c>
      <c r="B15" s="205" t="s">
        <v>24</v>
      </c>
      <c r="C15" s="206">
        <f>$A$200*'[29]نرخ تسهیم'!L13</f>
        <v>10728.139433191871</v>
      </c>
      <c r="D15" s="207">
        <f t="shared" si="1"/>
        <v>11264.546404851464</v>
      </c>
      <c r="E15" s="207">
        <f t="shared" si="1"/>
        <v>11827.773725094037</v>
      </c>
      <c r="F15" s="207">
        <f t="shared" si="1"/>
        <v>12419.16241134874</v>
      </c>
      <c r="G15" s="207">
        <f t="shared" si="1"/>
        <v>13040.120531916176</v>
      </c>
      <c r="H15" s="207">
        <f t="shared" si="1"/>
        <v>13692.126558511985</v>
      </c>
      <c r="I15" s="207">
        <f t="shared" si="1"/>
        <v>14376.732886437585</v>
      </c>
      <c r="J15" s="207">
        <f t="shared" si="1"/>
        <v>15095.569530759465</v>
      </c>
      <c r="K15" s="207">
        <f t="shared" si="1"/>
        <v>15850.34800729744</v>
      </c>
      <c r="L15" s="207">
        <f t="shared" si="1"/>
        <v>16642.865407662313</v>
      </c>
      <c r="M15" s="207">
        <f t="shared" si="1"/>
        <v>17475.008678045429</v>
      </c>
      <c r="N15" s="207">
        <f t="shared" si="1"/>
        <v>18348.7591119477</v>
      </c>
      <c r="O15" s="83"/>
      <c r="P15" s="83"/>
      <c r="Q15" s="84"/>
      <c r="R15" s="84"/>
      <c r="S15" s="84"/>
      <c r="T15" s="86"/>
      <c r="U15" s="85"/>
    </row>
    <row r="16" spans="1:21" s="87" customFormat="1" ht="30" customHeight="1">
      <c r="A16" s="279">
        <v>12</v>
      </c>
      <c r="B16" s="205" t="s">
        <v>25</v>
      </c>
      <c r="C16" s="206">
        <f>$A$200*'[29]نرخ تسهیم'!L14</f>
        <v>35490.230967741329</v>
      </c>
      <c r="D16" s="207">
        <f t="shared" si="1"/>
        <v>37264.742516128397</v>
      </c>
      <c r="E16" s="207">
        <f t="shared" si="1"/>
        <v>39127.97964193482</v>
      </c>
      <c r="F16" s="207">
        <f t="shared" si="1"/>
        <v>41084.37862403156</v>
      </c>
      <c r="G16" s="207">
        <f t="shared" si="1"/>
        <v>43138.597555233144</v>
      </c>
      <c r="H16" s="207">
        <f t="shared" si="1"/>
        <v>45295.527432994801</v>
      </c>
      <c r="I16" s="207">
        <f t="shared" si="1"/>
        <v>47560.303804644544</v>
      </c>
      <c r="J16" s="207">
        <f t="shared" si="1"/>
        <v>49938.318994876776</v>
      </c>
      <c r="K16" s="207">
        <f t="shared" si="1"/>
        <v>52435.234944620614</v>
      </c>
      <c r="L16" s="207">
        <f t="shared" si="1"/>
        <v>55056.996691851644</v>
      </c>
      <c r="M16" s="207">
        <f t="shared" si="1"/>
        <v>57809.846526444227</v>
      </c>
      <c r="N16" s="207">
        <f t="shared" si="1"/>
        <v>60700.338852766443</v>
      </c>
      <c r="O16" s="83"/>
      <c r="P16" s="83"/>
      <c r="Q16" s="84"/>
      <c r="R16" s="84"/>
      <c r="S16" s="84"/>
      <c r="T16" s="86"/>
      <c r="U16" s="85"/>
    </row>
    <row r="17" spans="1:21" s="87" customFormat="1" ht="30" customHeight="1">
      <c r="A17" s="279">
        <v>13</v>
      </c>
      <c r="B17" s="205" t="s">
        <v>26</v>
      </c>
      <c r="C17" s="206">
        <f>$A$200*'[29]نرخ تسهیم'!L15</f>
        <v>4976.8260558462562</v>
      </c>
      <c r="D17" s="207">
        <f t="shared" si="1"/>
        <v>5225.6673586385696</v>
      </c>
      <c r="E17" s="207">
        <f t="shared" si="1"/>
        <v>5486.9507265704979</v>
      </c>
      <c r="F17" s="207">
        <f t="shared" si="1"/>
        <v>5761.298262899023</v>
      </c>
      <c r="G17" s="207">
        <f t="shared" si="1"/>
        <v>6049.3631760439748</v>
      </c>
      <c r="H17" s="207">
        <f t="shared" si="1"/>
        <v>6351.8313348461734</v>
      </c>
      <c r="I17" s="207">
        <f t="shared" si="1"/>
        <v>6669.4229015884821</v>
      </c>
      <c r="J17" s="207">
        <f t="shared" si="1"/>
        <v>7002.8940466679069</v>
      </c>
      <c r="K17" s="207">
        <f t="shared" si="1"/>
        <v>7353.0387490013027</v>
      </c>
      <c r="L17" s="207">
        <f t="shared" si="1"/>
        <v>7720.6906864513685</v>
      </c>
      <c r="M17" s="207">
        <f t="shared" si="1"/>
        <v>8106.7252207739375</v>
      </c>
      <c r="N17" s="207">
        <f t="shared" si="1"/>
        <v>8512.0614818126342</v>
      </c>
      <c r="O17" s="83"/>
      <c r="P17" s="83"/>
      <c r="Q17" s="84"/>
      <c r="R17" s="84"/>
      <c r="S17" s="84"/>
      <c r="T17" s="86"/>
      <c r="U17" s="85"/>
    </row>
    <row r="18" spans="1:21" s="87" customFormat="1" ht="30" customHeight="1">
      <c r="A18" s="279">
        <v>14</v>
      </c>
      <c r="B18" s="205" t="s">
        <v>27</v>
      </c>
      <c r="C18" s="206">
        <f>$A$200*'[29]نرخ تسهیم'!L16</f>
        <v>21146.780265017118</v>
      </c>
      <c r="D18" s="207">
        <f t="shared" si="1"/>
        <v>22204.119278267975</v>
      </c>
      <c r="E18" s="207">
        <f t="shared" si="1"/>
        <v>23314.325242181374</v>
      </c>
      <c r="F18" s="207">
        <f t="shared" si="1"/>
        <v>24480.041504290442</v>
      </c>
      <c r="G18" s="207">
        <f t="shared" si="1"/>
        <v>25704.043579504967</v>
      </c>
      <c r="H18" s="207">
        <f t="shared" si="1"/>
        <v>26989.245758480218</v>
      </c>
      <c r="I18" s="207">
        <f t="shared" si="1"/>
        <v>28338.70804640423</v>
      </c>
      <c r="J18" s="207">
        <f t="shared" si="1"/>
        <v>29755.643448724444</v>
      </c>
      <c r="K18" s="207">
        <f t="shared" si="1"/>
        <v>31243.425621160666</v>
      </c>
      <c r="L18" s="207">
        <f t="shared" si="1"/>
        <v>32805.596902218698</v>
      </c>
      <c r="M18" s="207">
        <f t="shared" si="1"/>
        <v>34445.876747329632</v>
      </c>
      <c r="N18" s="207">
        <f t="shared" si="1"/>
        <v>36168.170584696112</v>
      </c>
      <c r="O18" s="83"/>
      <c r="P18" s="83"/>
      <c r="Q18" s="84"/>
      <c r="R18" s="84"/>
      <c r="S18" s="84"/>
      <c r="T18" s="86"/>
      <c r="U18" s="85"/>
    </row>
    <row r="19" spans="1:21" s="87" customFormat="1" ht="30" customHeight="1">
      <c r="A19" s="279">
        <v>15</v>
      </c>
      <c r="B19" s="205" t="s">
        <v>28</v>
      </c>
      <c r="C19" s="206">
        <f>$A$200*'[29]نرخ تسهیم'!L17</f>
        <v>10717.20661236567</v>
      </c>
      <c r="D19" s="207">
        <f t="shared" si="1"/>
        <v>11253.066942983953</v>
      </c>
      <c r="E19" s="207">
        <f t="shared" si="1"/>
        <v>11815.720290133151</v>
      </c>
      <c r="F19" s="207">
        <f t="shared" si="1"/>
        <v>12406.50630463981</v>
      </c>
      <c r="G19" s="207">
        <f t="shared" si="1"/>
        <v>13026.8316198718</v>
      </c>
      <c r="H19" s="207">
        <f t="shared" si="1"/>
        <v>13678.173200865391</v>
      </c>
      <c r="I19" s="207">
        <f t="shared" si="1"/>
        <v>14362.08186090866</v>
      </c>
      <c r="J19" s="207">
        <f t="shared" si="1"/>
        <v>15080.185953954093</v>
      </c>
      <c r="K19" s="207">
        <f t="shared" si="1"/>
        <v>15834.195251651798</v>
      </c>
      <c r="L19" s="207">
        <f t="shared" si="1"/>
        <v>16625.905014234388</v>
      </c>
      <c r="M19" s="207">
        <f t="shared" si="1"/>
        <v>17457.200264946106</v>
      </c>
      <c r="N19" s="207">
        <f t="shared" si="1"/>
        <v>18330.060278193414</v>
      </c>
      <c r="O19" s="83"/>
      <c r="P19" s="83"/>
      <c r="Q19" s="84"/>
      <c r="R19" s="84"/>
      <c r="S19" s="84"/>
      <c r="T19" s="86"/>
      <c r="U19" s="85"/>
    </row>
    <row r="20" spans="1:21" s="87" customFormat="1" ht="30" customHeight="1">
      <c r="A20" s="279">
        <v>16</v>
      </c>
      <c r="B20" s="205" t="s">
        <v>29</v>
      </c>
      <c r="C20" s="206">
        <f>$A$200*'[29]نرخ تسهیم'!L18</f>
        <v>10264.507083318082</v>
      </c>
      <c r="D20" s="207">
        <f t="shared" si="1"/>
        <v>10777.732437483986</v>
      </c>
      <c r="E20" s="207">
        <f t="shared" si="1"/>
        <v>11316.619059358187</v>
      </c>
      <c r="F20" s="207">
        <f t="shared" si="1"/>
        <v>11882.450012326097</v>
      </c>
      <c r="G20" s="207">
        <f t="shared" si="1"/>
        <v>12476.572512942403</v>
      </c>
      <c r="H20" s="207">
        <f t="shared" si="1"/>
        <v>13100.401138589523</v>
      </c>
      <c r="I20" s="207">
        <f t="shared" si="1"/>
        <v>13755.421195519</v>
      </c>
      <c r="J20" s="207">
        <f t="shared" si="1"/>
        <v>14443.192255294951</v>
      </c>
      <c r="K20" s="207">
        <f t="shared" si="1"/>
        <v>15165.351868059699</v>
      </c>
      <c r="L20" s="207">
        <f t="shared" si="1"/>
        <v>15923.619461462684</v>
      </c>
      <c r="M20" s="207">
        <f t="shared" si="1"/>
        <v>16719.80043453582</v>
      </c>
      <c r="N20" s="207">
        <f t="shared" si="1"/>
        <v>17555.790456262614</v>
      </c>
      <c r="O20" s="83"/>
      <c r="P20" s="83"/>
      <c r="Q20" s="84"/>
      <c r="R20" s="84"/>
      <c r="S20" s="84"/>
      <c r="T20" s="86"/>
      <c r="U20" s="85"/>
    </row>
    <row r="21" spans="1:21" s="87" customFormat="1" ht="30" customHeight="1">
      <c r="A21" s="279">
        <v>17</v>
      </c>
      <c r="B21" s="205" t="s">
        <v>30</v>
      </c>
      <c r="C21" s="206">
        <f>$A$200*'[29]نرخ تسهیم'!L19</f>
        <v>7319.9906301774308</v>
      </c>
      <c r="D21" s="207">
        <f t="shared" si="1"/>
        <v>7685.9901616863026</v>
      </c>
      <c r="E21" s="207">
        <f t="shared" si="1"/>
        <v>8070.2896697706183</v>
      </c>
      <c r="F21" s="207">
        <f t="shared" si="1"/>
        <v>8473.8041532591487</v>
      </c>
      <c r="G21" s="207">
        <f t="shared" si="1"/>
        <v>8897.4943609221064</v>
      </c>
      <c r="H21" s="207">
        <f t="shared" si="1"/>
        <v>9342.3690789682114</v>
      </c>
      <c r="I21" s="207">
        <f t="shared" si="1"/>
        <v>9809.4875329166225</v>
      </c>
      <c r="J21" s="207">
        <f t="shared" si="1"/>
        <v>10299.961909562455</v>
      </c>
      <c r="K21" s="207">
        <f t="shared" si="1"/>
        <v>10814.960005040579</v>
      </c>
      <c r="L21" s="207">
        <f t="shared" si="1"/>
        <v>11355.708005292609</v>
      </c>
      <c r="M21" s="207">
        <f t="shared" si="1"/>
        <v>11923.493405557239</v>
      </c>
      <c r="N21" s="207">
        <f t="shared" si="1"/>
        <v>12519.668075835101</v>
      </c>
      <c r="O21" s="83"/>
      <c r="P21" s="83"/>
      <c r="Q21" s="84"/>
      <c r="R21" s="84"/>
      <c r="S21" s="84"/>
      <c r="T21" s="86"/>
      <c r="U21" s="85"/>
    </row>
    <row r="22" spans="1:21" s="87" customFormat="1" ht="30" customHeight="1">
      <c r="A22" s="279">
        <v>18</v>
      </c>
      <c r="B22" s="205" t="s">
        <v>31</v>
      </c>
      <c r="C22" s="206">
        <f>$A$200*'[29]نرخ تسهیم'!L20</f>
        <v>18687.04929364187</v>
      </c>
      <c r="D22" s="207">
        <f t="shared" ref="D22:N36" si="2">C22*1.05</f>
        <v>19621.401758323966</v>
      </c>
      <c r="E22" s="207">
        <f t="shared" si="2"/>
        <v>20602.471846240165</v>
      </c>
      <c r="F22" s="207">
        <f t="shared" si="2"/>
        <v>21632.595438552173</v>
      </c>
      <c r="G22" s="207">
        <f t="shared" si="2"/>
        <v>22714.225210479781</v>
      </c>
      <c r="H22" s="207">
        <f t="shared" si="2"/>
        <v>23849.93647100377</v>
      </c>
      <c r="I22" s="207">
        <f t="shared" si="2"/>
        <v>25042.433294553961</v>
      </c>
      <c r="J22" s="207">
        <f t="shared" si="2"/>
        <v>26294.554959281661</v>
      </c>
      <c r="K22" s="207">
        <f t="shared" si="2"/>
        <v>27609.282707245744</v>
      </c>
      <c r="L22" s="207">
        <f t="shared" si="2"/>
        <v>28989.746842608034</v>
      </c>
      <c r="M22" s="207">
        <f t="shared" si="2"/>
        <v>30439.234184738438</v>
      </c>
      <c r="N22" s="207">
        <f t="shared" si="2"/>
        <v>31961.19589397536</v>
      </c>
      <c r="O22" s="83"/>
      <c r="P22" s="83"/>
      <c r="Q22" s="84"/>
      <c r="R22" s="84"/>
      <c r="S22" s="84"/>
      <c r="T22" s="86"/>
      <c r="U22" s="85"/>
    </row>
    <row r="23" spans="1:21" s="87" customFormat="1" ht="30" customHeight="1">
      <c r="A23" s="279">
        <v>19</v>
      </c>
      <c r="B23" s="205" t="s">
        <v>32</v>
      </c>
      <c r="C23" s="206">
        <f>$A$200*'[29]نرخ تسهیم'!L21</f>
        <v>10814.366595557309</v>
      </c>
      <c r="D23" s="207">
        <f t="shared" si="2"/>
        <v>11355.084925335175</v>
      </c>
      <c r="E23" s="207">
        <f t="shared" si="2"/>
        <v>11922.839171601934</v>
      </c>
      <c r="F23" s="207">
        <f t="shared" si="2"/>
        <v>12518.981130182032</v>
      </c>
      <c r="G23" s="207">
        <f t="shared" si="2"/>
        <v>13144.930186691134</v>
      </c>
      <c r="H23" s="207">
        <f t="shared" si="2"/>
        <v>13802.176696025692</v>
      </c>
      <c r="I23" s="207">
        <f t="shared" si="2"/>
        <v>14492.285530826977</v>
      </c>
      <c r="J23" s="207">
        <f t="shared" si="2"/>
        <v>15216.899807368327</v>
      </c>
      <c r="K23" s="207">
        <f t="shared" si="2"/>
        <v>15977.744797736745</v>
      </c>
      <c r="L23" s="207">
        <f t="shared" si="2"/>
        <v>16776.632037623582</v>
      </c>
      <c r="M23" s="207">
        <f t="shared" si="2"/>
        <v>17615.46363950476</v>
      </c>
      <c r="N23" s="207">
        <f t="shared" si="2"/>
        <v>18496.236821479997</v>
      </c>
      <c r="O23" s="83"/>
      <c r="P23" s="83"/>
      <c r="Q23" s="84"/>
      <c r="R23" s="84"/>
      <c r="S23" s="84"/>
      <c r="T23" s="86"/>
      <c r="U23" s="85"/>
    </row>
    <row r="24" spans="1:21" s="87" customFormat="1" ht="30" customHeight="1">
      <c r="A24" s="279">
        <v>20</v>
      </c>
      <c r="B24" s="205" t="s">
        <v>33</v>
      </c>
      <c r="C24" s="206">
        <f>$A$200*'[29]نرخ تسهیم'!L22</f>
        <v>10991.61826452374</v>
      </c>
      <c r="D24" s="207">
        <f t="shared" si="2"/>
        <v>11541.199177749928</v>
      </c>
      <c r="E24" s="207">
        <f t="shared" si="2"/>
        <v>12118.259136637425</v>
      </c>
      <c r="F24" s="207">
        <f t="shared" si="2"/>
        <v>12724.172093469297</v>
      </c>
      <c r="G24" s="207">
        <f t="shared" si="2"/>
        <v>13360.380698142762</v>
      </c>
      <c r="H24" s="207">
        <f t="shared" si="2"/>
        <v>14028.399733049901</v>
      </c>
      <c r="I24" s="207">
        <f t="shared" si="2"/>
        <v>14729.819719702396</v>
      </c>
      <c r="J24" s="207">
        <f t="shared" si="2"/>
        <v>15466.310705687518</v>
      </c>
      <c r="K24" s="207">
        <f t="shared" si="2"/>
        <v>16239.626240971895</v>
      </c>
      <c r="L24" s="207">
        <f t="shared" si="2"/>
        <v>17051.607553020491</v>
      </c>
      <c r="M24" s="207">
        <f t="shared" si="2"/>
        <v>17904.187930671516</v>
      </c>
      <c r="N24" s="207">
        <f t="shared" si="2"/>
        <v>18799.397327205093</v>
      </c>
      <c r="O24" s="83"/>
      <c r="P24" s="83"/>
      <c r="Q24" s="84"/>
      <c r="R24" s="84"/>
      <c r="S24" s="84"/>
      <c r="T24" s="86"/>
      <c r="U24" s="85"/>
    </row>
    <row r="25" spans="1:21" s="87" customFormat="1" ht="30" customHeight="1">
      <c r="A25" s="279">
        <v>21</v>
      </c>
      <c r="B25" s="205" t="s">
        <v>34</v>
      </c>
      <c r="C25" s="206">
        <f>$A$200*'[29]نرخ تسهیم'!L23</f>
        <v>7926.8823666275175</v>
      </c>
      <c r="D25" s="207">
        <f t="shared" si="2"/>
        <v>8323.2264849588937</v>
      </c>
      <c r="E25" s="207">
        <f t="shared" si="2"/>
        <v>8739.3878092068389</v>
      </c>
      <c r="F25" s="207">
        <f t="shared" si="2"/>
        <v>9176.3571996671817</v>
      </c>
      <c r="G25" s="207">
        <f t="shared" si="2"/>
        <v>9635.1750596505408</v>
      </c>
      <c r="H25" s="207">
        <f t="shared" si="2"/>
        <v>10116.933812633068</v>
      </c>
      <c r="I25" s="207">
        <f t="shared" si="2"/>
        <v>10622.780503264721</v>
      </c>
      <c r="J25" s="207">
        <f t="shared" si="2"/>
        <v>11153.919528427958</v>
      </c>
      <c r="K25" s="207">
        <f t="shared" si="2"/>
        <v>11711.615504849357</v>
      </c>
      <c r="L25" s="207">
        <f t="shared" si="2"/>
        <v>12297.196280091825</v>
      </c>
      <c r="M25" s="207">
        <f t="shared" si="2"/>
        <v>12912.056094096417</v>
      </c>
      <c r="N25" s="207">
        <f t="shared" si="2"/>
        <v>13557.658898801239</v>
      </c>
      <c r="O25" s="83"/>
      <c r="P25" s="83"/>
      <c r="Q25" s="84"/>
      <c r="R25" s="84"/>
      <c r="S25" s="84"/>
      <c r="T25" s="86"/>
      <c r="U25" s="85"/>
    </row>
    <row r="26" spans="1:21" s="87" customFormat="1" ht="30" customHeight="1">
      <c r="A26" s="279">
        <v>22</v>
      </c>
      <c r="B26" s="205" t="s">
        <v>35</v>
      </c>
      <c r="C26" s="206">
        <f>$A$200*'[29]نرخ تسهیم'!L24</f>
        <v>10155.931150270635</v>
      </c>
      <c r="D26" s="207">
        <f t="shared" si="2"/>
        <v>10663.727707784166</v>
      </c>
      <c r="E26" s="207">
        <f t="shared" si="2"/>
        <v>11196.914093173375</v>
      </c>
      <c r="F26" s="207">
        <f t="shared" si="2"/>
        <v>11756.759797832045</v>
      </c>
      <c r="G26" s="207">
        <f t="shared" si="2"/>
        <v>12344.597787723647</v>
      </c>
      <c r="H26" s="207">
        <f t="shared" si="2"/>
        <v>12961.82767710983</v>
      </c>
      <c r="I26" s="207">
        <f t="shared" si="2"/>
        <v>13609.919060965321</v>
      </c>
      <c r="J26" s="207">
        <f t="shared" si="2"/>
        <v>14290.415014013588</v>
      </c>
      <c r="K26" s="207">
        <f t="shared" si="2"/>
        <v>15004.935764714268</v>
      </c>
      <c r="L26" s="207">
        <f t="shared" si="2"/>
        <v>15755.182552949982</v>
      </c>
      <c r="M26" s="207">
        <f t="shared" si="2"/>
        <v>16542.941680597483</v>
      </c>
      <c r="N26" s="207">
        <f t="shared" si="2"/>
        <v>17370.088764627359</v>
      </c>
      <c r="O26" s="83"/>
      <c r="P26" s="83"/>
      <c r="Q26" s="84"/>
      <c r="R26" s="84"/>
      <c r="S26" s="84"/>
      <c r="T26" s="86"/>
      <c r="U26" s="85"/>
    </row>
    <row r="27" spans="1:21" s="87" customFormat="1" ht="30" customHeight="1">
      <c r="A27" s="279">
        <v>23</v>
      </c>
      <c r="B27" s="205" t="s">
        <v>36</v>
      </c>
      <c r="C27" s="206">
        <f>$A$200*'[29]نرخ تسهیم'!L25</f>
        <v>14439.567908509973</v>
      </c>
      <c r="D27" s="207">
        <f t="shared" si="2"/>
        <v>15161.546303935473</v>
      </c>
      <c r="E27" s="207">
        <f t="shared" si="2"/>
        <v>15919.623619132248</v>
      </c>
      <c r="F27" s="207">
        <f t="shared" si="2"/>
        <v>16715.604800088862</v>
      </c>
      <c r="G27" s="207">
        <f t="shared" si="2"/>
        <v>17551.385040093308</v>
      </c>
      <c r="H27" s="207">
        <f t="shared" si="2"/>
        <v>18428.954292097973</v>
      </c>
      <c r="I27" s="207">
        <f t="shared" si="2"/>
        <v>19350.402006702872</v>
      </c>
      <c r="J27" s="207">
        <f t="shared" si="2"/>
        <v>20317.922107038015</v>
      </c>
      <c r="K27" s="207">
        <f t="shared" si="2"/>
        <v>21333.818212389917</v>
      </c>
      <c r="L27" s="207">
        <f t="shared" si="2"/>
        <v>22400.509123009415</v>
      </c>
      <c r="M27" s="207">
        <f t="shared" si="2"/>
        <v>23520.534579159888</v>
      </c>
      <c r="N27" s="207">
        <f t="shared" si="2"/>
        <v>24696.561308117885</v>
      </c>
      <c r="O27" s="83"/>
      <c r="P27" s="83"/>
      <c r="Q27" s="84"/>
      <c r="R27" s="84"/>
      <c r="S27" s="84"/>
      <c r="T27" s="86"/>
      <c r="U27" s="85"/>
    </row>
    <row r="28" spans="1:21" s="87" customFormat="1" ht="30" customHeight="1">
      <c r="A28" s="279">
        <v>24</v>
      </c>
      <c r="B28" s="205" t="s">
        <v>37</v>
      </c>
      <c r="C28" s="206">
        <f>$A$200*'[29]نرخ تسهیم'!L26</f>
        <v>4731.2055192380112</v>
      </c>
      <c r="D28" s="207">
        <f t="shared" si="2"/>
        <v>4967.7657951999117</v>
      </c>
      <c r="E28" s="207">
        <f t="shared" si="2"/>
        <v>5216.1540849599078</v>
      </c>
      <c r="F28" s="207">
        <f t="shared" si="2"/>
        <v>5476.9617892079032</v>
      </c>
      <c r="G28" s="207">
        <f t="shared" si="2"/>
        <v>5750.8098786682986</v>
      </c>
      <c r="H28" s="207">
        <f t="shared" si="2"/>
        <v>6038.3503726017134</v>
      </c>
      <c r="I28" s="207">
        <f t="shared" si="2"/>
        <v>6340.2678912317997</v>
      </c>
      <c r="J28" s="207">
        <f t="shared" si="2"/>
        <v>6657.2812857933895</v>
      </c>
      <c r="K28" s="207">
        <f t="shared" si="2"/>
        <v>6990.1453500830594</v>
      </c>
      <c r="L28" s="207">
        <f t="shared" si="2"/>
        <v>7339.6526175872123</v>
      </c>
      <c r="M28" s="207">
        <f t="shared" si="2"/>
        <v>7706.6352484665731</v>
      </c>
      <c r="N28" s="207">
        <f t="shared" si="2"/>
        <v>8091.9670108899018</v>
      </c>
      <c r="O28" s="83"/>
      <c r="P28" s="83"/>
      <c r="Q28" s="84"/>
      <c r="R28" s="84"/>
      <c r="S28" s="84"/>
      <c r="T28" s="86"/>
      <c r="U28" s="85"/>
    </row>
    <row r="29" spans="1:21" s="87" customFormat="1" ht="30" customHeight="1">
      <c r="A29" s="279">
        <v>25</v>
      </c>
      <c r="B29" s="205" t="s">
        <v>38</v>
      </c>
      <c r="C29" s="206">
        <f>$A$200*'[29]نرخ تسهیم'!L27</f>
        <v>22823.996724626002</v>
      </c>
      <c r="D29" s="207">
        <f t="shared" si="2"/>
        <v>23965.196560857305</v>
      </c>
      <c r="E29" s="207">
        <f t="shared" si="2"/>
        <v>25163.456388900169</v>
      </c>
      <c r="F29" s="207">
        <f t="shared" si="2"/>
        <v>26421.629208345177</v>
      </c>
      <c r="G29" s="207">
        <f t="shared" si="2"/>
        <v>27742.710668762436</v>
      </c>
      <c r="H29" s="207">
        <f t="shared" si="2"/>
        <v>29129.846202200559</v>
      </c>
      <c r="I29" s="207">
        <f t="shared" si="2"/>
        <v>30586.338512310587</v>
      </c>
      <c r="J29" s="207">
        <f t="shared" si="2"/>
        <v>32115.655437926118</v>
      </c>
      <c r="K29" s="207">
        <f t="shared" si="2"/>
        <v>33721.438209822423</v>
      </c>
      <c r="L29" s="207">
        <f t="shared" si="2"/>
        <v>35407.510120313549</v>
      </c>
      <c r="M29" s="207">
        <f t="shared" si="2"/>
        <v>37177.885626329225</v>
      </c>
      <c r="N29" s="207">
        <f t="shared" si="2"/>
        <v>39036.779907645687</v>
      </c>
      <c r="O29" s="83"/>
      <c r="P29" s="83"/>
      <c r="Q29" s="84"/>
      <c r="R29" s="84"/>
      <c r="S29" s="84"/>
      <c r="T29" s="86"/>
      <c r="U29" s="85"/>
    </row>
    <row r="30" spans="1:21" s="87" customFormat="1" ht="30" customHeight="1">
      <c r="A30" s="279">
        <v>26</v>
      </c>
      <c r="B30" s="205" t="s">
        <v>39</v>
      </c>
      <c r="C30" s="206">
        <f>$A$200*'[29]نرخ تسهیم'!L28</f>
        <v>13670.955497261653</v>
      </c>
      <c r="D30" s="207">
        <f t="shared" si="2"/>
        <v>14354.503272124737</v>
      </c>
      <c r="E30" s="207">
        <f t="shared" si="2"/>
        <v>15072.228435730975</v>
      </c>
      <c r="F30" s="207">
        <f t="shared" si="2"/>
        <v>15825.839857517523</v>
      </c>
      <c r="G30" s="207">
        <f t="shared" si="2"/>
        <v>16617.131850393402</v>
      </c>
      <c r="H30" s="207">
        <f t="shared" si="2"/>
        <v>17447.988442913073</v>
      </c>
      <c r="I30" s="207">
        <f t="shared" si="2"/>
        <v>18320.387865058728</v>
      </c>
      <c r="J30" s="207">
        <f t="shared" si="2"/>
        <v>19236.407258311665</v>
      </c>
      <c r="K30" s="207">
        <f t="shared" si="2"/>
        <v>20198.227621227248</v>
      </c>
      <c r="L30" s="207">
        <f t="shared" si="2"/>
        <v>21208.139002288612</v>
      </c>
      <c r="M30" s="207">
        <f t="shared" si="2"/>
        <v>22268.545952403045</v>
      </c>
      <c r="N30" s="207">
        <f t="shared" si="2"/>
        <v>23381.973250023198</v>
      </c>
      <c r="O30" s="83"/>
      <c r="P30" s="83"/>
      <c r="Q30" s="84"/>
      <c r="R30" s="84"/>
      <c r="S30" s="84"/>
      <c r="T30" s="86"/>
      <c r="U30" s="85"/>
    </row>
    <row r="31" spans="1:21" s="87" customFormat="1" ht="30" customHeight="1">
      <c r="A31" s="279">
        <v>27</v>
      </c>
      <c r="B31" s="205" t="s">
        <v>40</v>
      </c>
      <c r="C31" s="206">
        <f>$A$200*'[29]نرخ تسهیم'!L29</f>
        <v>17432.342487432492</v>
      </c>
      <c r="D31" s="207">
        <f t="shared" si="2"/>
        <v>18303.959611804119</v>
      </c>
      <c r="E31" s="207">
        <f t="shared" si="2"/>
        <v>19219.157592394327</v>
      </c>
      <c r="F31" s="207">
        <f t="shared" si="2"/>
        <v>20180.115472014044</v>
      </c>
      <c r="G31" s="207">
        <f t="shared" si="2"/>
        <v>21189.121245614748</v>
      </c>
      <c r="H31" s="207">
        <f t="shared" si="2"/>
        <v>22248.577307895484</v>
      </c>
      <c r="I31" s="207">
        <f t="shared" si="2"/>
        <v>23361.006173290261</v>
      </c>
      <c r="J31" s="207">
        <f t="shared" si="2"/>
        <v>24529.056481954776</v>
      </c>
      <c r="K31" s="207">
        <f t="shared" si="2"/>
        <v>25755.509306052518</v>
      </c>
      <c r="L31" s="207">
        <f t="shared" si="2"/>
        <v>27043.284771355145</v>
      </c>
      <c r="M31" s="207">
        <f t="shared" si="2"/>
        <v>28395.449009922904</v>
      </c>
      <c r="N31" s="207">
        <f t="shared" si="2"/>
        <v>29815.221460419052</v>
      </c>
      <c r="O31" s="83"/>
      <c r="P31" s="83"/>
      <c r="Q31" s="84"/>
      <c r="R31" s="84"/>
      <c r="S31" s="84"/>
      <c r="T31" s="86"/>
      <c r="U31" s="85"/>
    </row>
    <row r="32" spans="1:21" s="87" customFormat="1" ht="30" customHeight="1">
      <c r="A32" s="279">
        <v>28</v>
      </c>
      <c r="B32" s="205" t="s">
        <v>41</v>
      </c>
      <c r="C32" s="206">
        <f>$A$200*'[29]نرخ تسهیم'!L30</f>
        <v>27602.977151426581</v>
      </c>
      <c r="D32" s="207">
        <f t="shared" si="2"/>
        <v>28983.126008997911</v>
      </c>
      <c r="E32" s="207">
        <f t="shared" si="2"/>
        <v>30432.282309447808</v>
      </c>
      <c r="F32" s="207">
        <f t="shared" si="2"/>
        <v>31953.8964249202</v>
      </c>
      <c r="G32" s="207">
        <f t="shared" si="2"/>
        <v>33551.591246166208</v>
      </c>
      <c r="H32" s="207">
        <f t="shared" si="2"/>
        <v>35229.170808474519</v>
      </c>
      <c r="I32" s="207">
        <f t="shared" si="2"/>
        <v>36990.629348898248</v>
      </c>
      <c r="J32" s="207">
        <f t="shared" si="2"/>
        <v>38840.160816343159</v>
      </c>
      <c r="K32" s="207">
        <f t="shared" si="2"/>
        <v>40782.168857160315</v>
      </c>
      <c r="L32" s="207">
        <f t="shared" si="2"/>
        <v>42821.27730001833</v>
      </c>
      <c r="M32" s="207">
        <f t="shared" si="2"/>
        <v>44962.34116501925</v>
      </c>
      <c r="N32" s="207">
        <f t="shared" si="2"/>
        <v>47210.458223270216</v>
      </c>
      <c r="O32" s="83"/>
      <c r="P32" s="83"/>
      <c r="Q32" s="84"/>
      <c r="R32" s="84"/>
      <c r="S32" s="84"/>
      <c r="T32" s="86"/>
      <c r="U32" s="85"/>
    </row>
    <row r="33" spans="1:21" s="87" customFormat="1" ht="30" customHeight="1">
      <c r="A33" s="279">
        <v>29</v>
      </c>
      <c r="B33" s="205" t="s">
        <v>42</v>
      </c>
      <c r="C33" s="206">
        <f>$A$200*'[29]نرخ تسهیم'!L31</f>
        <v>14394.206120576229</v>
      </c>
      <c r="D33" s="207">
        <f t="shared" si="2"/>
        <v>15113.916426605041</v>
      </c>
      <c r="E33" s="207">
        <f t="shared" si="2"/>
        <v>15869.612247935294</v>
      </c>
      <c r="F33" s="207">
        <f t="shared" si="2"/>
        <v>16663.092860332061</v>
      </c>
      <c r="G33" s="207">
        <f t="shared" si="2"/>
        <v>17496.247503348666</v>
      </c>
      <c r="H33" s="207">
        <f t="shared" si="2"/>
        <v>18371.059878516102</v>
      </c>
      <c r="I33" s="207">
        <f t="shared" si="2"/>
        <v>19289.612872441907</v>
      </c>
      <c r="J33" s="207">
        <f t="shared" si="2"/>
        <v>20254.093516064004</v>
      </c>
      <c r="K33" s="207">
        <f t="shared" si="2"/>
        <v>21266.798191867205</v>
      </c>
      <c r="L33" s="207">
        <f t="shared" si="2"/>
        <v>22330.138101460565</v>
      </c>
      <c r="M33" s="207">
        <f t="shared" si="2"/>
        <v>23446.645006533596</v>
      </c>
      <c r="N33" s="207">
        <f t="shared" si="2"/>
        <v>24618.977256860275</v>
      </c>
      <c r="O33" s="83"/>
      <c r="P33" s="83"/>
      <c r="Q33" s="84"/>
      <c r="R33" s="84"/>
      <c r="S33" s="84"/>
      <c r="T33" s="86"/>
      <c r="U33" s="85"/>
    </row>
    <row r="34" spans="1:21" s="87" customFormat="1" ht="30" customHeight="1">
      <c r="A34" s="279">
        <v>30</v>
      </c>
      <c r="B34" s="205" t="s">
        <v>43</v>
      </c>
      <c r="C34" s="206">
        <f>$A$200*'[29]نرخ تسهیم'!L32</f>
        <v>7020.8897565449151</v>
      </c>
      <c r="D34" s="207">
        <f t="shared" si="2"/>
        <v>7371.9342443721616</v>
      </c>
      <c r="E34" s="207">
        <f t="shared" si="2"/>
        <v>7740.5309565907701</v>
      </c>
      <c r="F34" s="207">
        <f t="shared" si="2"/>
        <v>8127.5575044203088</v>
      </c>
      <c r="G34" s="207">
        <f t="shared" si="2"/>
        <v>8533.9353796413252</v>
      </c>
      <c r="H34" s="207">
        <f t="shared" si="2"/>
        <v>8960.6321486233919</v>
      </c>
      <c r="I34" s="207">
        <f t="shared" si="2"/>
        <v>9408.6637560545623</v>
      </c>
      <c r="J34" s="207">
        <f t="shared" si="2"/>
        <v>9879.0969438572902</v>
      </c>
      <c r="K34" s="207">
        <f t="shared" si="2"/>
        <v>10373.051791050155</v>
      </c>
      <c r="L34" s="207">
        <f t="shared" si="2"/>
        <v>10891.704380602663</v>
      </c>
      <c r="M34" s="207">
        <f t="shared" si="2"/>
        <v>11436.289599632797</v>
      </c>
      <c r="N34" s="207">
        <f t="shared" si="2"/>
        <v>12008.104079614437</v>
      </c>
      <c r="O34" s="83"/>
      <c r="P34" s="83"/>
      <c r="Q34" s="84"/>
      <c r="R34" s="84"/>
      <c r="S34" s="84"/>
      <c r="T34" s="86"/>
      <c r="U34" s="85"/>
    </row>
    <row r="35" spans="1:21" s="87" customFormat="1" ht="30" customHeight="1">
      <c r="A35" s="279">
        <v>31</v>
      </c>
      <c r="B35" s="205" t="s">
        <v>44</v>
      </c>
      <c r="C35" s="206">
        <f>$A$200*'[29]نرخ تسهیم'!L33</f>
        <v>8477.0530172527615</v>
      </c>
      <c r="D35" s="207">
        <f t="shared" si="2"/>
        <v>8900.9056681153997</v>
      </c>
      <c r="E35" s="207">
        <f t="shared" si="2"/>
        <v>9345.9509515211703</v>
      </c>
      <c r="F35" s="207">
        <f t="shared" si="2"/>
        <v>9813.2484990972298</v>
      </c>
      <c r="G35" s="207">
        <f t="shared" si="2"/>
        <v>10303.910924052092</v>
      </c>
      <c r="H35" s="207">
        <f t="shared" si="2"/>
        <v>10819.106470254697</v>
      </c>
      <c r="I35" s="207">
        <f t="shared" si="2"/>
        <v>11360.061793767432</v>
      </c>
      <c r="J35" s="207">
        <f t="shared" si="2"/>
        <v>11928.064883455805</v>
      </c>
      <c r="K35" s="207">
        <f t="shared" si="2"/>
        <v>12524.468127628596</v>
      </c>
      <c r="L35" s="207">
        <f t="shared" si="2"/>
        <v>13150.691534010026</v>
      </c>
      <c r="M35" s="207">
        <f t="shared" si="2"/>
        <v>13808.226110710528</v>
      </c>
      <c r="N35" s="207">
        <f t="shared" si="2"/>
        <v>14498.637416246054</v>
      </c>
      <c r="O35" s="83"/>
      <c r="P35" s="83"/>
      <c r="Q35" s="84"/>
      <c r="R35" s="84"/>
      <c r="S35" s="84"/>
      <c r="T35" s="86"/>
      <c r="U35" s="85"/>
    </row>
    <row r="36" spans="1:21" s="87" customFormat="1" ht="30" customHeight="1">
      <c r="A36" s="279">
        <v>32</v>
      </c>
      <c r="B36" s="205" t="s">
        <v>45</v>
      </c>
      <c r="C36" s="206">
        <f>$A$200*'[29]نرخ تسهیم'!L34</f>
        <v>9572.1291556231736</v>
      </c>
      <c r="D36" s="207">
        <f t="shared" si="2"/>
        <v>10050.735613404333</v>
      </c>
      <c r="E36" s="207">
        <f t="shared" si="2"/>
        <v>10553.272394074551</v>
      </c>
      <c r="F36" s="207">
        <f t="shared" si="2"/>
        <v>11080.936013778279</v>
      </c>
      <c r="G36" s="207">
        <f t="shared" si="2"/>
        <v>11634.982814467194</v>
      </c>
      <c r="H36" s="207">
        <f t="shared" si="2"/>
        <v>12216.731955190555</v>
      </c>
      <c r="I36" s="207">
        <f t="shared" si="2"/>
        <v>12827.568552950082</v>
      </c>
      <c r="J36" s="207">
        <f t="shared" si="2"/>
        <v>13468.946980597588</v>
      </c>
      <c r="K36" s="207">
        <f t="shared" si="2"/>
        <v>14142.394329627468</v>
      </c>
      <c r="L36" s="207">
        <f t="shared" si="2"/>
        <v>14849.514046108843</v>
      </c>
      <c r="M36" s="207">
        <f t="shared" si="2"/>
        <v>15591.989748414286</v>
      </c>
      <c r="N36" s="207">
        <f t="shared" si="2"/>
        <v>16371.589235835001</v>
      </c>
      <c r="O36" s="83"/>
      <c r="P36" s="83"/>
      <c r="Q36" s="84"/>
      <c r="R36" s="84"/>
      <c r="S36" s="84"/>
      <c r="T36" s="86"/>
      <c r="U36" s="85"/>
    </row>
    <row r="37" spans="1:21" s="90" customFormat="1" ht="30" customHeight="1">
      <c r="A37" s="464" t="s">
        <v>107</v>
      </c>
      <c r="B37" s="464"/>
      <c r="C37" s="206">
        <f>SUM(C5:C36)</f>
        <v>428245.09845333337</v>
      </c>
      <c r="D37" s="206">
        <f t="shared" ref="D37:N37" si="3">SUM(D5:D36)</f>
        <v>449657.35337600007</v>
      </c>
      <c r="E37" s="206">
        <f t="shared" si="3"/>
        <v>472140.22104480024</v>
      </c>
      <c r="F37" s="206">
        <f t="shared" si="3"/>
        <v>495747.23209704011</v>
      </c>
      <c r="G37" s="206">
        <f t="shared" si="3"/>
        <v>520534.59370189212</v>
      </c>
      <c r="H37" s="206">
        <f t="shared" si="3"/>
        <v>546561.32338698674</v>
      </c>
      <c r="I37" s="206">
        <f t="shared" si="3"/>
        <v>573889.3895563361</v>
      </c>
      <c r="J37" s="206">
        <f t="shared" si="3"/>
        <v>602583.85903415293</v>
      </c>
      <c r="K37" s="206">
        <f t="shared" si="3"/>
        <v>632713.0519858608</v>
      </c>
      <c r="L37" s="206">
        <f t="shared" si="3"/>
        <v>664348.70458515361</v>
      </c>
      <c r="M37" s="206">
        <f t="shared" si="3"/>
        <v>697566.13981441141</v>
      </c>
      <c r="N37" s="206">
        <f t="shared" si="3"/>
        <v>732444.44680513197</v>
      </c>
      <c r="O37" s="83"/>
      <c r="P37" s="83"/>
      <c r="Q37" s="84"/>
      <c r="R37" s="84"/>
      <c r="S37" s="84"/>
      <c r="T37" s="88"/>
      <c r="U37" s="89"/>
    </row>
    <row r="39" spans="1:21" ht="35.1" customHeight="1">
      <c r="D39" s="96"/>
    </row>
    <row r="40" spans="1:21" ht="35.1" customHeight="1">
      <c r="D40" s="96"/>
      <c r="K40" s="97"/>
    </row>
    <row r="41" spans="1:21" ht="35.1" customHeight="1">
      <c r="D41" s="96"/>
      <c r="K41" s="97"/>
    </row>
    <row r="42" spans="1:21" ht="35.1" customHeight="1">
      <c r="D42" s="96"/>
      <c r="K42" s="97"/>
    </row>
    <row r="43" spans="1:21" ht="35.1" customHeight="1">
      <c r="D43" s="96"/>
      <c r="K43" s="97"/>
    </row>
    <row r="44" spans="1:21" ht="35.1" customHeight="1">
      <c r="D44" s="96"/>
      <c r="K44" s="97"/>
    </row>
    <row r="45" spans="1:21" ht="35.1" customHeight="1">
      <c r="D45" s="96"/>
      <c r="K45" s="97"/>
    </row>
    <row r="46" spans="1:21" ht="35.1" customHeight="1">
      <c r="D46" s="96"/>
      <c r="K46" s="97"/>
    </row>
    <row r="47" spans="1:21" ht="35.1" customHeight="1">
      <c r="D47" s="96"/>
      <c r="K47" s="97"/>
    </row>
    <row r="48" spans="1:21" ht="35.1" customHeight="1">
      <c r="D48" s="96"/>
      <c r="K48" s="97"/>
    </row>
    <row r="49" spans="4:11" ht="35.1" customHeight="1">
      <c r="D49" s="96"/>
      <c r="K49" s="97"/>
    </row>
    <row r="50" spans="4:11" ht="35.1" customHeight="1">
      <c r="D50" s="96"/>
      <c r="K50" s="97"/>
    </row>
    <row r="51" spans="4:11" ht="35.1" customHeight="1">
      <c r="D51" s="96"/>
      <c r="K51" s="97"/>
    </row>
    <row r="52" spans="4:11" ht="35.1" customHeight="1">
      <c r="D52" s="96"/>
      <c r="K52" s="97"/>
    </row>
    <row r="53" spans="4:11" ht="35.1" customHeight="1">
      <c r="D53" s="96"/>
      <c r="K53" s="97"/>
    </row>
    <row r="54" spans="4:11" ht="35.1" customHeight="1">
      <c r="D54" s="96"/>
      <c r="K54" s="97"/>
    </row>
    <row r="55" spans="4:11" ht="35.1" customHeight="1">
      <c r="D55" s="96"/>
      <c r="K55" s="97"/>
    </row>
    <row r="56" spans="4:11" ht="35.1" customHeight="1">
      <c r="D56" s="96"/>
      <c r="K56" s="97"/>
    </row>
    <row r="57" spans="4:11" ht="35.1" customHeight="1">
      <c r="D57" s="96"/>
      <c r="K57" s="97"/>
    </row>
    <row r="58" spans="4:11" ht="35.1" customHeight="1">
      <c r="D58" s="96"/>
      <c r="K58" s="97"/>
    </row>
    <row r="59" spans="4:11" ht="35.1" customHeight="1">
      <c r="D59" s="96"/>
      <c r="K59" s="97"/>
    </row>
    <row r="60" spans="4:11" ht="35.1" customHeight="1">
      <c r="D60" s="96"/>
      <c r="K60" s="97"/>
    </row>
    <row r="61" spans="4:11" ht="35.1" customHeight="1">
      <c r="D61" s="96"/>
      <c r="K61" s="97"/>
    </row>
    <row r="62" spans="4:11" ht="35.1" customHeight="1">
      <c r="D62" s="96"/>
      <c r="K62" s="97"/>
    </row>
    <row r="63" spans="4:11" ht="35.1" customHeight="1">
      <c r="D63" s="96"/>
      <c r="K63" s="97"/>
    </row>
    <row r="64" spans="4:11" ht="35.1" customHeight="1">
      <c r="D64" s="96"/>
      <c r="K64" s="97"/>
    </row>
    <row r="65" spans="4:11" ht="35.1" customHeight="1">
      <c r="D65" s="96"/>
      <c r="K65" s="97"/>
    </row>
    <row r="66" spans="4:11" ht="35.1" customHeight="1">
      <c r="D66" s="96"/>
      <c r="K66" s="97"/>
    </row>
    <row r="67" spans="4:11" ht="35.1" customHeight="1">
      <c r="D67" s="96"/>
      <c r="K67" s="97"/>
    </row>
    <row r="68" spans="4:11" ht="35.1" customHeight="1">
      <c r="D68" s="96"/>
      <c r="K68" s="97"/>
    </row>
    <row r="69" spans="4:11" ht="35.1" customHeight="1">
      <c r="D69" s="96"/>
      <c r="K69" s="97"/>
    </row>
    <row r="70" spans="4:11" ht="35.1" customHeight="1">
      <c r="D70" s="96"/>
      <c r="K70" s="97"/>
    </row>
    <row r="71" spans="4:11" ht="35.1" customHeight="1">
      <c r="D71" s="96"/>
      <c r="K71" s="97"/>
    </row>
    <row r="72" spans="4:11" ht="35.1" customHeight="1">
      <c r="D72" s="96"/>
      <c r="K72" s="97"/>
    </row>
    <row r="73" spans="4:11" ht="35.1" customHeight="1">
      <c r="D73" s="96"/>
      <c r="K73" s="98"/>
    </row>
    <row r="74" spans="4:11" ht="35.1" customHeight="1">
      <c r="D74" s="96"/>
      <c r="K74" s="97"/>
    </row>
    <row r="75" spans="4:11" ht="35.1" customHeight="1">
      <c r="D75" s="96"/>
      <c r="K75" s="97"/>
    </row>
    <row r="76" spans="4:11" ht="35.1" customHeight="1">
      <c r="D76" s="96"/>
      <c r="K76" s="97"/>
    </row>
    <row r="77" spans="4:11" ht="35.1" customHeight="1">
      <c r="D77" s="96"/>
      <c r="K77" s="97"/>
    </row>
    <row r="78" spans="4:11" ht="35.1" customHeight="1">
      <c r="D78" s="96">
        <f t="shared" ref="D78:D94" si="4">C44/$C$37</f>
        <v>0</v>
      </c>
      <c r="K78" s="97"/>
    </row>
    <row r="79" spans="4:11" ht="35.1" customHeight="1">
      <c r="D79" s="96">
        <f t="shared" si="4"/>
        <v>0</v>
      </c>
      <c r="K79" s="97"/>
    </row>
    <row r="80" spans="4:11" ht="35.1" customHeight="1">
      <c r="D80" s="96">
        <f t="shared" si="4"/>
        <v>0</v>
      </c>
      <c r="K80" s="97"/>
    </row>
    <row r="81" spans="4:11" ht="35.1" customHeight="1">
      <c r="D81" s="96">
        <f t="shared" si="4"/>
        <v>0</v>
      </c>
      <c r="K81" s="97"/>
    </row>
    <row r="82" spans="4:11" ht="35.1" customHeight="1">
      <c r="D82" s="96">
        <f t="shared" si="4"/>
        <v>0</v>
      </c>
      <c r="K82" s="97"/>
    </row>
    <row r="83" spans="4:11" ht="35.1" customHeight="1">
      <c r="D83" s="96">
        <f t="shared" si="4"/>
        <v>0</v>
      </c>
      <c r="K83" s="97"/>
    </row>
    <row r="84" spans="4:11" ht="35.1" customHeight="1">
      <c r="D84" s="96">
        <f t="shared" si="4"/>
        <v>0</v>
      </c>
      <c r="K84" s="97"/>
    </row>
    <row r="85" spans="4:11" ht="35.1" customHeight="1">
      <c r="D85" s="96">
        <f t="shared" si="4"/>
        <v>0</v>
      </c>
      <c r="K85" s="97"/>
    </row>
    <row r="86" spans="4:11" ht="35.1" customHeight="1">
      <c r="D86" s="96">
        <f t="shared" si="4"/>
        <v>0</v>
      </c>
      <c r="K86" s="97"/>
    </row>
    <row r="87" spans="4:11" ht="35.1" customHeight="1">
      <c r="D87" s="96">
        <f t="shared" si="4"/>
        <v>0</v>
      </c>
      <c r="K87" s="97"/>
    </row>
    <row r="88" spans="4:11" ht="35.1" customHeight="1">
      <c r="D88" s="96">
        <f t="shared" si="4"/>
        <v>0</v>
      </c>
      <c r="K88" s="97"/>
    </row>
    <row r="89" spans="4:11" ht="35.1" customHeight="1">
      <c r="D89" s="96">
        <f t="shared" si="4"/>
        <v>0</v>
      </c>
      <c r="K89" s="97"/>
    </row>
    <row r="90" spans="4:11" ht="35.1" customHeight="1">
      <c r="D90" s="96">
        <f t="shared" si="4"/>
        <v>0</v>
      </c>
      <c r="K90" s="97"/>
    </row>
    <row r="91" spans="4:11" ht="35.1" customHeight="1">
      <c r="D91" s="96">
        <f t="shared" si="4"/>
        <v>0</v>
      </c>
      <c r="K91" s="97"/>
    </row>
    <row r="92" spans="4:11" ht="35.1" customHeight="1">
      <c r="D92" s="96">
        <f t="shared" si="4"/>
        <v>0</v>
      </c>
      <c r="K92" s="97"/>
    </row>
    <row r="93" spans="4:11" ht="35.1" customHeight="1">
      <c r="D93" s="96">
        <f t="shared" si="4"/>
        <v>0</v>
      </c>
      <c r="K93" s="97"/>
    </row>
    <row r="94" spans="4:11" ht="35.1" customHeight="1">
      <c r="D94" s="96">
        <f t="shared" si="4"/>
        <v>0</v>
      </c>
      <c r="K94" s="97"/>
    </row>
    <row r="95" spans="4:11" ht="35.1" customHeight="1">
      <c r="K95" s="97"/>
    </row>
    <row r="96" spans="4:11" ht="35.1" customHeight="1">
      <c r="K96" s="97"/>
    </row>
    <row r="199" spans="1:20" s="33" customFormat="1" ht="35.1" customHeight="1">
      <c r="D199" s="80"/>
      <c r="E199" s="80"/>
      <c r="F199" s="80"/>
      <c r="G199" s="80"/>
      <c r="H199" s="80"/>
      <c r="I199" s="80"/>
      <c r="J199" s="80"/>
      <c r="K199" s="80"/>
      <c r="L199" s="80"/>
      <c r="M199" s="80"/>
      <c r="N199" s="81"/>
      <c r="O199" s="32"/>
      <c r="P199" s="32"/>
      <c r="Q199" s="32"/>
      <c r="R199" s="32"/>
      <c r="T199" s="34"/>
    </row>
    <row r="200" spans="1:20" s="47" customFormat="1" ht="35.1" hidden="1" customHeight="1">
      <c r="A200" s="47">
        <f>'[29]عملیات-فعالیت ها '!$L$75</f>
        <v>428245.09845333337</v>
      </c>
      <c r="B200" s="47">
        <f>'[29]عملیات-فعالیت ها '!$M$75</f>
        <v>3370343.9668295998</v>
      </c>
      <c r="D200" s="48">
        <v>326</v>
      </c>
      <c r="E200" s="48">
        <f>D200*1.17</f>
        <v>381.41999999999996</v>
      </c>
      <c r="F200" s="48">
        <f t="shared" ref="F200:H200" si="5">E200*1.17</f>
        <v>446.26139999999992</v>
      </c>
      <c r="G200" s="48">
        <f t="shared" si="5"/>
        <v>522.12583799999993</v>
      </c>
      <c r="H200" s="48">
        <f t="shared" si="5"/>
        <v>610.88723045999984</v>
      </c>
      <c r="I200" s="48"/>
      <c r="J200" s="48"/>
      <c r="K200" s="48"/>
      <c r="L200" s="48"/>
      <c r="M200" s="48"/>
      <c r="N200" s="49"/>
      <c r="O200" s="50"/>
      <c r="P200" s="50"/>
      <c r="Q200" s="50"/>
      <c r="R200" s="50"/>
      <c r="T200" s="51"/>
    </row>
    <row r="201" spans="1:20" s="33" customFormat="1" ht="35.1" customHeight="1">
      <c r="D201" s="80"/>
      <c r="E201" s="80"/>
      <c r="F201" s="80"/>
      <c r="G201" s="80"/>
      <c r="H201" s="80"/>
      <c r="I201" s="80"/>
      <c r="J201" s="80"/>
      <c r="K201" s="80"/>
      <c r="L201" s="80"/>
      <c r="M201" s="80"/>
      <c r="N201" s="81"/>
      <c r="O201" s="32"/>
      <c r="P201" s="32"/>
      <c r="Q201" s="32"/>
      <c r="R201" s="32"/>
      <c r="T201" s="34"/>
    </row>
  </sheetData>
  <mergeCells count="17">
    <mergeCell ref="A37:B37"/>
    <mergeCell ref="I3:I4"/>
    <mergeCell ref="J3:J4"/>
    <mergeCell ref="K3:K4"/>
    <mergeCell ref="L3:L4"/>
    <mergeCell ref="M3:M4"/>
    <mergeCell ref="N3:N4"/>
    <mergeCell ref="A1:N1"/>
    <mergeCell ref="A2:A4"/>
    <mergeCell ref="B2:B4"/>
    <mergeCell ref="C2:C4"/>
    <mergeCell ref="D2:D4"/>
    <mergeCell ref="E2:I2"/>
    <mergeCell ref="J2:N2"/>
    <mergeCell ref="E3:F3"/>
    <mergeCell ref="G3:G4"/>
    <mergeCell ref="H3:H4"/>
  </mergeCells>
  <pageMargins left="0.7" right="0.7" top="0.75" bottom="0.75" header="0.3" footer="0.3"/>
  <pageSetup paperSize="9" orientation="portrait" r:id="rId1"/>
  <drawing r:id="rId2"/>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290"/>
  <sheetViews>
    <sheetView showGridLines="0" rightToLeft="1" workbookViewId="0">
      <pane xSplit="25" topLeftCell="Z1" activePane="topRight" state="frozen"/>
      <selection pane="topRight" activeCell="L72" sqref="L72"/>
    </sheetView>
  </sheetViews>
  <sheetFormatPr defaultColWidth="28.6640625" defaultRowHeight="5.65" customHeight="1"/>
  <cols>
    <col min="1" max="1" width="9.33203125" style="3" customWidth="1"/>
    <col min="2" max="2" width="55.5" style="3" customWidth="1"/>
    <col min="3" max="3" width="9" style="125" customWidth="1"/>
    <col min="4" max="9" width="6.6640625" style="126" customWidth="1"/>
    <col min="10" max="12" width="12.5" style="3" customWidth="1"/>
    <col min="13" max="13" width="12.1640625" style="2" customWidth="1"/>
    <col min="14" max="18" width="10.1640625" style="29" hidden="1" customWidth="1"/>
    <col min="19" max="23" width="10.33203125" style="29" hidden="1" customWidth="1"/>
    <col min="24" max="25" width="10.1640625" style="30" hidden="1" customWidth="1"/>
    <col min="26" max="26" width="19.33203125" style="121" customWidth="1"/>
    <col min="27" max="27" width="28.6640625" style="2"/>
    <col min="28" max="16384" width="28.6640625" style="3"/>
  </cols>
  <sheetData>
    <row r="1" spans="1:26" ht="54.75" customHeight="1">
      <c r="A1" s="467" t="s">
        <v>398</v>
      </c>
      <c r="B1" s="413"/>
      <c r="C1" s="413"/>
      <c r="D1" s="413"/>
      <c r="E1" s="413"/>
      <c r="F1" s="413"/>
      <c r="G1" s="413"/>
      <c r="H1" s="413"/>
      <c r="I1" s="413"/>
      <c r="J1" s="413"/>
      <c r="K1" s="413"/>
      <c r="L1" s="413"/>
      <c r="M1" s="413"/>
    </row>
    <row r="2" spans="1:26" ht="33.75" customHeight="1">
      <c r="A2" s="231">
        <f>$M$74</f>
        <v>1.5</v>
      </c>
      <c r="B2" s="382" t="s">
        <v>134</v>
      </c>
      <c r="C2" s="383" t="s">
        <v>135</v>
      </c>
      <c r="D2" s="384" t="s">
        <v>136</v>
      </c>
      <c r="E2" s="384"/>
      <c r="F2" s="384"/>
      <c r="G2" s="384"/>
      <c r="H2" s="384" t="s">
        <v>137</v>
      </c>
      <c r="I2" s="384" t="s">
        <v>138</v>
      </c>
      <c r="J2" s="385" t="s">
        <v>139</v>
      </c>
      <c r="K2" s="385" t="s">
        <v>140</v>
      </c>
      <c r="L2" s="385" t="s">
        <v>141</v>
      </c>
      <c r="M2" s="386" t="s">
        <v>142</v>
      </c>
    </row>
    <row r="3" spans="1:26" ht="31.5" customHeight="1">
      <c r="A3" s="230" t="s">
        <v>0</v>
      </c>
      <c r="B3" s="430"/>
      <c r="C3" s="383"/>
      <c r="D3" s="208" t="s">
        <v>143</v>
      </c>
      <c r="E3" s="208" t="s">
        <v>144</v>
      </c>
      <c r="F3" s="208" t="s">
        <v>145</v>
      </c>
      <c r="G3" s="208" t="s">
        <v>146</v>
      </c>
      <c r="H3" s="384"/>
      <c r="I3" s="384"/>
      <c r="J3" s="385"/>
      <c r="K3" s="385"/>
      <c r="L3" s="385"/>
      <c r="M3" s="386"/>
      <c r="N3" s="29" t="s">
        <v>147</v>
      </c>
      <c r="O3" s="29" t="s">
        <v>148</v>
      </c>
      <c r="P3" s="29" t="s">
        <v>149</v>
      </c>
      <c r="Q3" s="29" t="s">
        <v>150</v>
      </c>
      <c r="R3" s="29" t="s">
        <v>147</v>
      </c>
      <c r="S3" s="29" t="s">
        <v>148</v>
      </c>
      <c r="T3" s="29" t="s">
        <v>149</v>
      </c>
      <c r="U3" s="29" t="s">
        <v>150</v>
      </c>
      <c r="V3" s="29" t="s">
        <v>164</v>
      </c>
      <c r="W3" s="29" t="s">
        <v>165</v>
      </c>
      <c r="X3" s="30" t="s">
        <v>153</v>
      </c>
      <c r="Y3" s="30" t="s">
        <v>154</v>
      </c>
    </row>
    <row r="4" spans="1:26" s="131" customFormat="1" ht="54.95" customHeight="1">
      <c r="A4" s="209">
        <v>1</v>
      </c>
      <c r="B4" s="258" t="s">
        <v>399</v>
      </c>
      <c r="C4" s="211">
        <v>1.8</v>
      </c>
      <c r="D4" s="212">
        <v>0</v>
      </c>
      <c r="E4" s="212">
        <v>0</v>
      </c>
      <c r="F4" s="212">
        <v>1</v>
      </c>
      <c r="G4" s="212">
        <v>0</v>
      </c>
      <c r="H4" s="212">
        <v>1</v>
      </c>
      <c r="I4" s="212">
        <v>1</v>
      </c>
      <c r="J4" s="213">
        <v>0</v>
      </c>
      <c r="K4" s="213">
        <v>0</v>
      </c>
      <c r="L4" s="297">
        <f t="shared" ref="L4:L67" si="0">(((J4*C4)/$A$2)*D4)+(((J4*C4)/$A$2)*E4)+(((J4*C4)/$A$2)*F4)+(((J4*C4)/$A$2)*G4)</f>
        <v>0</v>
      </c>
      <c r="M4" s="298">
        <f t="shared" ref="M4:M67" si="1">(((K4*C4)/$A$2)*D4)+(((K4*C4)/$A$2)*E4)+(((K4*C4)/$A$2)*F4)+(((K4*C4)/$A$2)*G4)</f>
        <v>0</v>
      </c>
      <c r="N4" s="122">
        <f t="shared" ref="N4:N67" si="2">J4*D4*C4/$A$2</f>
        <v>0</v>
      </c>
      <c r="O4" s="122">
        <f t="shared" ref="O4:O67" si="3">J4*E4*C4/$A$2</f>
        <v>0</v>
      </c>
      <c r="P4" s="122">
        <f t="shared" ref="P4:P67" si="4">J4*F4*C4/$A$2</f>
        <v>0</v>
      </c>
      <c r="Q4" s="122">
        <f t="shared" ref="Q4:Q67" si="5">J4*G4*C4/$A$2</f>
        <v>0</v>
      </c>
      <c r="R4" s="122">
        <f t="shared" ref="R4:R67" si="6">K4*D4*C4/$A$2</f>
        <v>0</v>
      </c>
      <c r="S4" s="122">
        <f t="shared" ref="S4:S67" si="7">K4*E4*C4/$A$2</f>
        <v>0</v>
      </c>
      <c r="T4" s="122">
        <f t="shared" ref="T4:T67" si="8">K4*F4*C4/$A$2</f>
        <v>0</v>
      </c>
      <c r="U4" s="122">
        <f t="shared" ref="U4:U67" si="9">K4*G4*C4/$A$2</f>
        <v>0</v>
      </c>
      <c r="V4" s="30">
        <f t="shared" ref="V4:V67" si="10">((L4/15)*((I4+H4)-2))</f>
        <v>0</v>
      </c>
      <c r="W4" s="30">
        <f t="shared" ref="W4:W67" si="11">((M4/15)*((I4+H4)-2))</f>
        <v>0</v>
      </c>
      <c r="X4" s="30">
        <f t="shared" ref="X4:Y19" si="12">L4*(V4/(V4-0.0000001))</f>
        <v>0</v>
      </c>
      <c r="Y4" s="30">
        <f t="shared" si="12"/>
        <v>0</v>
      </c>
      <c r="Z4" s="130"/>
    </row>
    <row r="5" spans="1:26" s="131" customFormat="1" ht="54.95" customHeight="1">
      <c r="A5" s="209">
        <v>2</v>
      </c>
      <c r="B5" s="258" t="s">
        <v>400</v>
      </c>
      <c r="C5" s="211">
        <v>2.5</v>
      </c>
      <c r="D5" s="212">
        <v>0</v>
      </c>
      <c r="E5" s="212">
        <v>0</v>
      </c>
      <c r="F5" s="212">
        <v>1</v>
      </c>
      <c r="G5" s="212">
        <v>0</v>
      </c>
      <c r="H5" s="212">
        <v>1</v>
      </c>
      <c r="I5" s="212">
        <v>1</v>
      </c>
      <c r="J5" s="213">
        <v>0</v>
      </c>
      <c r="K5" s="213">
        <v>0</v>
      </c>
      <c r="L5" s="297">
        <f t="shared" si="0"/>
        <v>0</v>
      </c>
      <c r="M5" s="298">
        <f t="shared" si="1"/>
        <v>0</v>
      </c>
      <c r="N5" s="122">
        <f t="shared" si="2"/>
        <v>0</v>
      </c>
      <c r="O5" s="122">
        <f t="shared" si="3"/>
        <v>0</v>
      </c>
      <c r="P5" s="122">
        <f t="shared" si="4"/>
        <v>0</v>
      </c>
      <c r="Q5" s="122">
        <f t="shared" si="5"/>
        <v>0</v>
      </c>
      <c r="R5" s="122">
        <f t="shared" si="6"/>
        <v>0</v>
      </c>
      <c r="S5" s="122">
        <f t="shared" si="7"/>
        <v>0</v>
      </c>
      <c r="T5" s="122">
        <f t="shared" si="8"/>
        <v>0</v>
      </c>
      <c r="U5" s="122">
        <f t="shared" si="9"/>
        <v>0</v>
      </c>
      <c r="V5" s="30">
        <f t="shared" si="10"/>
        <v>0</v>
      </c>
      <c r="W5" s="30">
        <f t="shared" si="11"/>
        <v>0</v>
      </c>
      <c r="X5" s="30">
        <f t="shared" si="12"/>
        <v>0</v>
      </c>
      <c r="Y5" s="30">
        <f t="shared" si="12"/>
        <v>0</v>
      </c>
      <c r="Z5" s="130"/>
    </row>
    <row r="6" spans="1:26" s="131" customFormat="1" ht="54.95" customHeight="1">
      <c r="A6" s="209">
        <v>3</v>
      </c>
      <c r="B6" s="258" t="s">
        <v>401</v>
      </c>
      <c r="C6" s="211">
        <v>1.6</v>
      </c>
      <c r="D6" s="212">
        <v>0</v>
      </c>
      <c r="E6" s="212">
        <v>0</v>
      </c>
      <c r="F6" s="212">
        <v>1</v>
      </c>
      <c r="G6" s="212">
        <v>0</v>
      </c>
      <c r="H6" s="212">
        <v>1</v>
      </c>
      <c r="I6" s="212">
        <v>1</v>
      </c>
      <c r="J6" s="213">
        <v>0</v>
      </c>
      <c r="K6" s="213">
        <v>0</v>
      </c>
      <c r="L6" s="297">
        <f t="shared" si="0"/>
        <v>0</v>
      </c>
      <c r="M6" s="298">
        <f t="shared" si="1"/>
        <v>0</v>
      </c>
      <c r="N6" s="122">
        <f t="shared" si="2"/>
        <v>0</v>
      </c>
      <c r="O6" s="122">
        <f t="shared" si="3"/>
        <v>0</v>
      </c>
      <c r="P6" s="122">
        <f t="shared" si="4"/>
        <v>0</v>
      </c>
      <c r="Q6" s="122">
        <f t="shared" si="5"/>
        <v>0</v>
      </c>
      <c r="R6" s="122">
        <f t="shared" si="6"/>
        <v>0</v>
      </c>
      <c r="S6" s="122">
        <f t="shared" si="7"/>
        <v>0</v>
      </c>
      <c r="T6" s="122">
        <f t="shared" si="8"/>
        <v>0</v>
      </c>
      <c r="U6" s="122">
        <f t="shared" si="9"/>
        <v>0</v>
      </c>
      <c r="V6" s="30">
        <f t="shared" si="10"/>
        <v>0</v>
      </c>
      <c r="W6" s="30">
        <f t="shared" si="11"/>
        <v>0</v>
      </c>
      <c r="X6" s="30">
        <f t="shared" si="12"/>
        <v>0</v>
      </c>
      <c r="Y6" s="30">
        <f t="shared" si="12"/>
        <v>0</v>
      </c>
      <c r="Z6" s="130"/>
    </row>
    <row r="7" spans="1:26" s="131" customFormat="1" ht="54.95" customHeight="1">
      <c r="A7" s="209">
        <v>4</v>
      </c>
      <c r="B7" s="258" t="s">
        <v>402</v>
      </c>
      <c r="C7" s="211">
        <v>1</v>
      </c>
      <c r="D7" s="212">
        <v>0</v>
      </c>
      <c r="E7" s="212">
        <v>0</v>
      </c>
      <c r="F7" s="212">
        <v>1</v>
      </c>
      <c r="G7" s="212">
        <v>0</v>
      </c>
      <c r="H7" s="212">
        <v>1</v>
      </c>
      <c r="I7" s="212">
        <v>1</v>
      </c>
      <c r="J7" s="213">
        <v>0</v>
      </c>
      <c r="K7" s="213">
        <v>0</v>
      </c>
      <c r="L7" s="297">
        <f t="shared" si="0"/>
        <v>0</v>
      </c>
      <c r="M7" s="298">
        <f t="shared" si="1"/>
        <v>0</v>
      </c>
      <c r="N7" s="122">
        <f t="shared" si="2"/>
        <v>0</v>
      </c>
      <c r="O7" s="122">
        <f t="shared" si="3"/>
        <v>0</v>
      </c>
      <c r="P7" s="122">
        <f t="shared" si="4"/>
        <v>0</v>
      </c>
      <c r="Q7" s="122">
        <f t="shared" si="5"/>
        <v>0</v>
      </c>
      <c r="R7" s="122">
        <f t="shared" si="6"/>
        <v>0</v>
      </c>
      <c r="S7" s="122">
        <f t="shared" si="7"/>
        <v>0</v>
      </c>
      <c r="T7" s="122">
        <f t="shared" si="8"/>
        <v>0</v>
      </c>
      <c r="U7" s="122">
        <f t="shared" si="9"/>
        <v>0</v>
      </c>
      <c r="V7" s="30">
        <f t="shared" si="10"/>
        <v>0</v>
      </c>
      <c r="W7" s="30">
        <f t="shared" si="11"/>
        <v>0</v>
      </c>
      <c r="X7" s="30">
        <f t="shared" si="12"/>
        <v>0</v>
      </c>
      <c r="Y7" s="30">
        <f t="shared" si="12"/>
        <v>0</v>
      </c>
      <c r="Z7" s="130"/>
    </row>
    <row r="8" spans="1:26" s="131" customFormat="1" ht="54.95" customHeight="1">
      <c r="A8" s="209">
        <v>5</v>
      </c>
      <c r="B8" s="258" t="s">
        <v>403</v>
      </c>
      <c r="C8" s="211">
        <v>1.2</v>
      </c>
      <c r="D8" s="212">
        <v>0</v>
      </c>
      <c r="E8" s="212">
        <v>0</v>
      </c>
      <c r="F8" s="212">
        <v>1</v>
      </c>
      <c r="G8" s="212">
        <v>0</v>
      </c>
      <c r="H8" s="212">
        <v>1</v>
      </c>
      <c r="I8" s="212">
        <v>1</v>
      </c>
      <c r="J8" s="213">
        <v>0</v>
      </c>
      <c r="K8" s="213">
        <v>0</v>
      </c>
      <c r="L8" s="297">
        <f t="shared" si="0"/>
        <v>0</v>
      </c>
      <c r="M8" s="298">
        <f t="shared" si="1"/>
        <v>0</v>
      </c>
      <c r="N8" s="122">
        <f t="shared" si="2"/>
        <v>0</v>
      </c>
      <c r="O8" s="122">
        <f t="shared" si="3"/>
        <v>0</v>
      </c>
      <c r="P8" s="122">
        <f t="shared" si="4"/>
        <v>0</v>
      </c>
      <c r="Q8" s="122">
        <f t="shared" si="5"/>
        <v>0</v>
      </c>
      <c r="R8" s="122">
        <f t="shared" si="6"/>
        <v>0</v>
      </c>
      <c r="S8" s="122">
        <f t="shared" si="7"/>
        <v>0</v>
      </c>
      <c r="T8" s="122">
        <f t="shared" si="8"/>
        <v>0</v>
      </c>
      <c r="U8" s="122">
        <f t="shared" si="9"/>
        <v>0</v>
      </c>
      <c r="V8" s="30">
        <f t="shared" si="10"/>
        <v>0</v>
      </c>
      <c r="W8" s="30">
        <f t="shared" si="11"/>
        <v>0</v>
      </c>
      <c r="X8" s="30">
        <f t="shared" si="12"/>
        <v>0</v>
      </c>
      <c r="Y8" s="30">
        <f t="shared" si="12"/>
        <v>0</v>
      </c>
      <c r="Z8" s="130"/>
    </row>
    <row r="9" spans="1:26" s="131" customFormat="1" ht="54.95" customHeight="1">
      <c r="A9" s="209">
        <v>6</v>
      </c>
      <c r="B9" s="258" t="s">
        <v>404</v>
      </c>
      <c r="C9" s="211">
        <v>0.8</v>
      </c>
      <c r="D9" s="212">
        <v>0</v>
      </c>
      <c r="E9" s="212">
        <v>0</v>
      </c>
      <c r="F9" s="212">
        <v>1</v>
      </c>
      <c r="G9" s="212">
        <v>0</v>
      </c>
      <c r="H9" s="212">
        <v>1</v>
      </c>
      <c r="I9" s="212">
        <v>1</v>
      </c>
      <c r="J9" s="213">
        <v>0</v>
      </c>
      <c r="K9" s="213">
        <v>0</v>
      </c>
      <c r="L9" s="297">
        <f t="shared" si="0"/>
        <v>0</v>
      </c>
      <c r="M9" s="298">
        <f t="shared" si="1"/>
        <v>0</v>
      </c>
      <c r="N9" s="122">
        <f t="shared" si="2"/>
        <v>0</v>
      </c>
      <c r="O9" s="122">
        <f t="shared" si="3"/>
        <v>0</v>
      </c>
      <c r="P9" s="122">
        <f t="shared" si="4"/>
        <v>0</v>
      </c>
      <c r="Q9" s="122">
        <f t="shared" si="5"/>
        <v>0</v>
      </c>
      <c r="R9" s="122">
        <f t="shared" si="6"/>
        <v>0</v>
      </c>
      <c r="S9" s="122">
        <f t="shared" si="7"/>
        <v>0</v>
      </c>
      <c r="T9" s="122">
        <f t="shared" si="8"/>
        <v>0</v>
      </c>
      <c r="U9" s="122">
        <f t="shared" si="9"/>
        <v>0</v>
      </c>
      <c r="V9" s="30">
        <f t="shared" si="10"/>
        <v>0</v>
      </c>
      <c r="W9" s="30">
        <f t="shared" si="11"/>
        <v>0</v>
      </c>
      <c r="X9" s="30">
        <f t="shared" si="12"/>
        <v>0</v>
      </c>
      <c r="Y9" s="30">
        <f t="shared" si="12"/>
        <v>0</v>
      </c>
      <c r="Z9" s="130"/>
    </row>
    <row r="10" spans="1:26" s="131" customFormat="1" ht="54.95" customHeight="1">
      <c r="A10" s="209">
        <v>7</v>
      </c>
      <c r="B10" s="258" t="s">
        <v>405</v>
      </c>
      <c r="C10" s="211">
        <v>0.6</v>
      </c>
      <c r="D10" s="212">
        <v>0</v>
      </c>
      <c r="E10" s="212">
        <v>0</v>
      </c>
      <c r="F10" s="212">
        <v>1</v>
      </c>
      <c r="G10" s="212">
        <v>0</v>
      </c>
      <c r="H10" s="212">
        <v>1</v>
      </c>
      <c r="I10" s="212">
        <v>1</v>
      </c>
      <c r="J10" s="213">
        <v>0</v>
      </c>
      <c r="K10" s="213">
        <v>0</v>
      </c>
      <c r="L10" s="297">
        <f t="shared" si="0"/>
        <v>0</v>
      </c>
      <c r="M10" s="298">
        <f t="shared" si="1"/>
        <v>0</v>
      </c>
      <c r="N10" s="122">
        <f t="shared" si="2"/>
        <v>0</v>
      </c>
      <c r="O10" s="122">
        <f t="shared" si="3"/>
        <v>0</v>
      </c>
      <c r="P10" s="122">
        <f t="shared" si="4"/>
        <v>0</v>
      </c>
      <c r="Q10" s="122">
        <f t="shared" si="5"/>
        <v>0</v>
      </c>
      <c r="R10" s="122">
        <f t="shared" si="6"/>
        <v>0</v>
      </c>
      <c r="S10" s="122">
        <f t="shared" si="7"/>
        <v>0</v>
      </c>
      <c r="T10" s="122">
        <f t="shared" si="8"/>
        <v>0</v>
      </c>
      <c r="U10" s="122">
        <f t="shared" si="9"/>
        <v>0</v>
      </c>
      <c r="V10" s="30">
        <f t="shared" si="10"/>
        <v>0</v>
      </c>
      <c r="W10" s="30">
        <f t="shared" si="11"/>
        <v>0</v>
      </c>
      <c r="X10" s="30">
        <f t="shared" si="12"/>
        <v>0</v>
      </c>
      <c r="Y10" s="30">
        <f t="shared" si="12"/>
        <v>0</v>
      </c>
      <c r="Z10" s="130"/>
    </row>
    <row r="11" spans="1:26" s="131" customFormat="1" ht="54.95" customHeight="1">
      <c r="A11" s="209">
        <v>8</v>
      </c>
      <c r="B11" s="258" t="s">
        <v>406</v>
      </c>
      <c r="C11" s="211">
        <v>0.5</v>
      </c>
      <c r="D11" s="212">
        <v>0</v>
      </c>
      <c r="E11" s="212">
        <v>1</v>
      </c>
      <c r="F11" s="212">
        <v>1</v>
      </c>
      <c r="G11" s="212">
        <v>0</v>
      </c>
      <c r="H11" s="212">
        <v>1</v>
      </c>
      <c r="I11" s="212">
        <v>1</v>
      </c>
      <c r="J11" s="213">
        <v>0</v>
      </c>
      <c r="K11" s="213">
        <v>0</v>
      </c>
      <c r="L11" s="297">
        <f t="shared" si="0"/>
        <v>0</v>
      </c>
      <c r="M11" s="298">
        <f t="shared" si="1"/>
        <v>0</v>
      </c>
      <c r="N11" s="122">
        <f t="shared" si="2"/>
        <v>0</v>
      </c>
      <c r="O11" s="122">
        <f t="shared" si="3"/>
        <v>0</v>
      </c>
      <c r="P11" s="122">
        <f t="shared" si="4"/>
        <v>0</v>
      </c>
      <c r="Q11" s="122">
        <f t="shared" si="5"/>
        <v>0</v>
      </c>
      <c r="R11" s="122">
        <f t="shared" si="6"/>
        <v>0</v>
      </c>
      <c r="S11" s="122">
        <f t="shared" si="7"/>
        <v>0</v>
      </c>
      <c r="T11" s="122">
        <f t="shared" si="8"/>
        <v>0</v>
      </c>
      <c r="U11" s="122">
        <f t="shared" si="9"/>
        <v>0</v>
      </c>
      <c r="V11" s="30">
        <f t="shared" si="10"/>
        <v>0</v>
      </c>
      <c r="W11" s="30">
        <f t="shared" si="11"/>
        <v>0</v>
      </c>
      <c r="X11" s="30">
        <f t="shared" si="12"/>
        <v>0</v>
      </c>
      <c r="Y11" s="30">
        <f t="shared" si="12"/>
        <v>0</v>
      </c>
      <c r="Z11" s="130"/>
    </row>
    <row r="12" spans="1:26" s="131" customFormat="1" ht="54.95" customHeight="1">
      <c r="A12" s="209">
        <v>9</v>
      </c>
      <c r="B12" s="258" t="s">
        <v>407</v>
      </c>
      <c r="C12" s="211">
        <v>1.8</v>
      </c>
      <c r="D12" s="212">
        <v>0</v>
      </c>
      <c r="E12" s="212">
        <v>1</v>
      </c>
      <c r="F12" s="212">
        <v>0</v>
      </c>
      <c r="G12" s="212">
        <v>0</v>
      </c>
      <c r="H12" s="212">
        <v>5</v>
      </c>
      <c r="I12" s="212">
        <v>3</v>
      </c>
      <c r="J12" s="213">
        <v>0</v>
      </c>
      <c r="K12" s="213">
        <v>0</v>
      </c>
      <c r="L12" s="297">
        <f t="shared" si="0"/>
        <v>0</v>
      </c>
      <c r="M12" s="298">
        <f t="shared" si="1"/>
        <v>0</v>
      </c>
      <c r="N12" s="122">
        <f t="shared" si="2"/>
        <v>0</v>
      </c>
      <c r="O12" s="122">
        <f t="shared" si="3"/>
        <v>0</v>
      </c>
      <c r="P12" s="122">
        <f t="shared" si="4"/>
        <v>0</v>
      </c>
      <c r="Q12" s="122">
        <f t="shared" si="5"/>
        <v>0</v>
      </c>
      <c r="R12" s="122">
        <f t="shared" si="6"/>
        <v>0</v>
      </c>
      <c r="S12" s="122">
        <f t="shared" si="7"/>
        <v>0</v>
      </c>
      <c r="T12" s="122">
        <f t="shared" si="8"/>
        <v>0</v>
      </c>
      <c r="U12" s="122">
        <f t="shared" si="9"/>
        <v>0</v>
      </c>
      <c r="V12" s="30">
        <f t="shared" si="10"/>
        <v>0</v>
      </c>
      <c r="W12" s="30">
        <f t="shared" si="11"/>
        <v>0</v>
      </c>
      <c r="X12" s="30">
        <f t="shared" si="12"/>
        <v>0</v>
      </c>
      <c r="Y12" s="30">
        <f t="shared" si="12"/>
        <v>0</v>
      </c>
      <c r="Z12" s="130"/>
    </row>
    <row r="13" spans="1:26" s="131" customFormat="1" ht="54.95" customHeight="1">
      <c r="A13" s="209">
        <v>10</v>
      </c>
      <c r="B13" s="258" t="s">
        <v>408</v>
      </c>
      <c r="C13" s="211">
        <v>3.5</v>
      </c>
      <c r="D13" s="212">
        <v>0</v>
      </c>
      <c r="E13" s="212">
        <v>1</v>
      </c>
      <c r="F13" s="212">
        <v>1</v>
      </c>
      <c r="G13" s="212">
        <v>0</v>
      </c>
      <c r="H13" s="212">
        <v>5</v>
      </c>
      <c r="I13" s="212">
        <v>3</v>
      </c>
      <c r="J13" s="213">
        <v>0</v>
      </c>
      <c r="K13" s="213">
        <v>0</v>
      </c>
      <c r="L13" s="297">
        <f t="shared" si="0"/>
        <v>0</v>
      </c>
      <c r="M13" s="298">
        <f t="shared" si="1"/>
        <v>0</v>
      </c>
      <c r="N13" s="122">
        <f t="shared" si="2"/>
        <v>0</v>
      </c>
      <c r="O13" s="122">
        <f t="shared" si="3"/>
        <v>0</v>
      </c>
      <c r="P13" s="122">
        <f t="shared" si="4"/>
        <v>0</v>
      </c>
      <c r="Q13" s="122">
        <f t="shared" si="5"/>
        <v>0</v>
      </c>
      <c r="R13" s="122">
        <f t="shared" si="6"/>
        <v>0</v>
      </c>
      <c r="S13" s="122">
        <f t="shared" si="7"/>
        <v>0</v>
      </c>
      <c r="T13" s="122">
        <f t="shared" si="8"/>
        <v>0</v>
      </c>
      <c r="U13" s="122">
        <f t="shared" si="9"/>
        <v>0</v>
      </c>
      <c r="V13" s="30">
        <f t="shared" si="10"/>
        <v>0</v>
      </c>
      <c r="W13" s="30">
        <f t="shared" si="11"/>
        <v>0</v>
      </c>
      <c r="X13" s="30">
        <f t="shared" si="12"/>
        <v>0</v>
      </c>
      <c r="Y13" s="30">
        <f t="shared" si="12"/>
        <v>0</v>
      </c>
      <c r="Z13" s="130"/>
    </row>
    <row r="14" spans="1:26" s="131" customFormat="1" ht="54.95" customHeight="1">
      <c r="A14" s="209">
        <v>11</v>
      </c>
      <c r="B14" s="258" t="s">
        <v>409</v>
      </c>
      <c r="C14" s="211">
        <v>2</v>
      </c>
      <c r="D14" s="212">
        <v>0</v>
      </c>
      <c r="E14" s="212">
        <v>1</v>
      </c>
      <c r="F14" s="212">
        <v>1</v>
      </c>
      <c r="G14" s="212">
        <v>0</v>
      </c>
      <c r="H14" s="212">
        <v>5</v>
      </c>
      <c r="I14" s="212">
        <v>3</v>
      </c>
      <c r="J14" s="213">
        <v>0</v>
      </c>
      <c r="K14" s="213">
        <v>0</v>
      </c>
      <c r="L14" s="297">
        <f t="shared" si="0"/>
        <v>0</v>
      </c>
      <c r="M14" s="298">
        <f t="shared" si="1"/>
        <v>0</v>
      </c>
      <c r="N14" s="122">
        <f t="shared" si="2"/>
        <v>0</v>
      </c>
      <c r="O14" s="122">
        <f t="shared" si="3"/>
        <v>0</v>
      </c>
      <c r="P14" s="122">
        <f t="shared" si="4"/>
        <v>0</v>
      </c>
      <c r="Q14" s="122">
        <f t="shared" si="5"/>
        <v>0</v>
      </c>
      <c r="R14" s="122">
        <f t="shared" si="6"/>
        <v>0</v>
      </c>
      <c r="S14" s="122">
        <f t="shared" si="7"/>
        <v>0</v>
      </c>
      <c r="T14" s="122">
        <f t="shared" si="8"/>
        <v>0</v>
      </c>
      <c r="U14" s="122">
        <f t="shared" si="9"/>
        <v>0</v>
      </c>
      <c r="V14" s="30">
        <f t="shared" si="10"/>
        <v>0</v>
      </c>
      <c r="W14" s="30">
        <f t="shared" si="11"/>
        <v>0</v>
      </c>
      <c r="X14" s="30">
        <f t="shared" si="12"/>
        <v>0</v>
      </c>
      <c r="Y14" s="30">
        <f t="shared" si="12"/>
        <v>0</v>
      </c>
      <c r="Z14" s="130"/>
    </row>
    <row r="15" spans="1:26" s="131" customFormat="1" ht="54.95" customHeight="1">
      <c r="A15" s="209">
        <v>12</v>
      </c>
      <c r="B15" s="258" t="s">
        <v>410</v>
      </c>
      <c r="C15" s="211">
        <v>1.5</v>
      </c>
      <c r="D15" s="212">
        <v>0</v>
      </c>
      <c r="E15" s="212">
        <v>1</v>
      </c>
      <c r="F15" s="212">
        <v>0</v>
      </c>
      <c r="G15" s="212">
        <v>0</v>
      </c>
      <c r="H15" s="212">
        <v>5</v>
      </c>
      <c r="I15" s="212">
        <v>4</v>
      </c>
      <c r="J15" s="213">
        <v>0</v>
      </c>
      <c r="K15" s="213">
        <v>0</v>
      </c>
      <c r="L15" s="297">
        <f t="shared" si="0"/>
        <v>0</v>
      </c>
      <c r="M15" s="298">
        <f t="shared" si="1"/>
        <v>0</v>
      </c>
      <c r="N15" s="122">
        <f t="shared" si="2"/>
        <v>0</v>
      </c>
      <c r="O15" s="122">
        <f t="shared" si="3"/>
        <v>0</v>
      </c>
      <c r="P15" s="122">
        <f t="shared" si="4"/>
        <v>0</v>
      </c>
      <c r="Q15" s="122">
        <f t="shared" si="5"/>
        <v>0</v>
      </c>
      <c r="R15" s="122">
        <f t="shared" si="6"/>
        <v>0</v>
      </c>
      <c r="S15" s="122">
        <f t="shared" si="7"/>
        <v>0</v>
      </c>
      <c r="T15" s="122">
        <f t="shared" si="8"/>
        <v>0</v>
      </c>
      <c r="U15" s="122">
        <f t="shared" si="9"/>
        <v>0</v>
      </c>
      <c r="V15" s="30">
        <f t="shared" si="10"/>
        <v>0</v>
      </c>
      <c r="W15" s="30">
        <f t="shared" si="11"/>
        <v>0</v>
      </c>
      <c r="X15" s="30">
        <f t="shared" si="12"/>
        <v>0</v>
      </c>
      <c r="Y15" s="30">
        <f t="shared" si="12"/>
        <v>0</v>
      </c>
      <c r="Z15" s="130"/>
    </row>
    <row r="16" spans="1:26" s="131" customFormat="1" ht="54.95" customHeight="1">
      <c r="A16" s="209">
        <v>13</v>
      </c>
      <c r="B16" s="258" t="s">
        <v>411</v>
      </c>
      <c r="C16" s="211">
        <v>2</v>
      </c>
      <c r="D16" s="212">
        <v>0</v>
      </c>
      <c r="E16" s="212">
        <v>1</v>
      </c>
      <c r="F16" s="212">
        <v>0</v>
      </c>
      <c r="G16" s="212">
        <v>0</v>
      </c>
      <c r="H16" s="212">
        <v>5</v>
      </c>
      <c r="I16" s="212">
        <v>3</v>
      </c>
      <c r="J16" s="213">
        <v>0</v>
      </c>
      <c r="K16" s="213">
        <v>0</v>
      </c>
      <c r="L16" s="297">
        <f t="shared" si="0"/>
        <v>0</v>
      </c>
      <c r="M16" s="298">
        <f t="shared" si="1"/>
        <v>0</v>
      </c>
      <c r="N16" s="122">
        <f t="shared" si="2"/>
        <v>0</v>
      </c>
      <c r="O16" s="122">
        <f t="shared" si="3"/>
        <v>0</v>
      </c>
      <c r="P16" s="122">
        <f t="shared" si="4"/>
        <v>0</v>
      </c>
      <c r="Q16" s="122">
        <f t="shared" si="5"/>
        <v>0</v>
      </c>
      <c r="R16" s="122">
        <f t="shared" si="6"/>
        <v>0</v>
      </c>
      <c r="S16" s="122">
        <f t="shared" si="7"/>
        <v>0</v>
      </c>
      <c r="T16" s="122">
        <f t="shared" si="8"/>
        <v>0</v>
      </c>
      <c r="U16" s="122">
        <f t="shared" si="9"/>
        <v>0</v>
      </c>
      <c r="V16" s="30">
        <f t="shared" si="10"/>
        <v>0</v>
      </c>
      <c r="W16" s="30">
        <f t="shared" si="11"/>
        <v>0</v>
      </c>
      <c r="X16" s="30">
        <f t="shared" si="12"/>
        <v>0</v>
      </c>
      <c r="Y16" s="30">
        <f t="shared" si="12"/>
        <v>0</v>
      </c>
      <c r="Z16" s="130"/>
    </row>
    <row r="17" spans="1:27" s="131" customFormat="1" ht="54.95" customHeight="1">
      <c r="A17" s="209">
        <v>14</v>
      </c>
      <c r="B17" s="258" t="s">
        <v>412</v>
      </c>
      <c r="C17" s="211">
        <v>1.5</v>
      </c>
      <c r="D17" s="212">
        <v>0</v>
      </c>
      <c r="E17" s="212">
        <v>1</v>
      </c>
      <c r="F17" s="212">
        <v>0</v>
      </c>
      <c r="G17" s="212">
        <v>0</v>
      </c>
      <c r="H17" s="212">
        <v>5</v>
      </c>
      <c r="I17" s="212">
        <v>3</v>
      </c>
      <c r="J17" s="213">
        <v>0</v>
      </c>
      <c r="K17" s="213">
        <v>0</v>
      </c>
      <c r="L17" s="297">
        <f t="shared" si="0"/>
        <v>0</v>
      </c>
      <c r="M17" s="298">
        <f t="shared" si="1"/>
        <v>0</v>
      </c>
      <c r="N17" s="122">
        <f t="shared" si="2"/>
        <v>0</v>
      </c>
      <c r="O17" s="122">
        <f t="shared" si="3"/>
        <v>0</v>
      </c>
      <c r="P17" s="122">
        <f t="shared" si="4"/>
        <v>0</v>
      </c>
      <c r="Q17" s="122">
        <f t="shared" si="5"/>
        <v>0</v>
      </c>
      <c r="R17" s="122">
        <f t="shared" si="6"/>
        <v>0</v>
      </c>
      <c r="S17" s="122">
        <f t="shared" si="7"/>
        <v>0</v>
      </c>
      <c r="T17" s="122">
        <f t="shared" si="8"/>
        <v>0</v>
      </c>
      <c r="U17" s="122">
        <f t="shared" si="9"/>
        <v>0</v>
      </c>
      <c r="V17" s="30">
        <f t="shared" si="10"/>
        <v>0</v>
      </c>
      <c r="W17" s="30">
        <f t="shared" si="11"/>
        <v>0</v>
      </c>
      <c r="X17" s="30">
        <f t="shared" si="12"/>
        <v>0</v>
      </c>
      <c r="Y17" s="30">
        <f t="shared" si="12"/>
        <v>0</v>
      </c>
      <c r="Z17" s="130"/>
    </row>
    <row r="18" spans="1:27" s="131" customFormat="1" ht="54.95" customHeight="1">
      <c r="A18" s="209">
        <v>15</v>
      </c>
      <c r="B18" s="258" t="s">
        <v>413</v>
      </c>
      <c r="C18" s="211">
        <v>0.8</v>
      </c>
      <c r="D18" s="212">
        <v>0</v>
      </c>
      <c r="E18" s="212">
        <v>1</v>
      </c>
      <c r="F18" s="212">
        <v>0</v>
      </c>
      <c r="G18" s="212">
        <v>0</v>
      </c>
      <c r="H18" s="212">
        <v>1</v>
      </c>
      <c r="I18" s="212">
        <v>3</v>
      </c>
      <c r="J18" s="213">
        <v>0</v>
      </c>
      <c r="K18" s="213">
        <v>0</v>
      </c>
      <c r="L18" s="297">
        <f t="shared" si="0"/>
        <v>0</v>
      </c>
      <c r="M18" s="298">
        <f t="shared" si="1"/>
        <v>0</v>
      </c>
      <c r="N18" s="122">
        <f t="shared" si="2"/>
        <v>0</v>
      </c>
      <c r="O18" s="122">
        <f t="shared" si="3"/>
        <v>0</v>
      </c>
      <c r="P18" s="122">
        <f t="shared" si="4"/>
        <v>0</v>
      </c>
      <c r="Q18" s="122">
        <f t="shared" si="5"/>
        <v>0</v>
      </c>
      <c r="R18" s="122">
        <f t="shared" si="6"/>
        <v>0</v>
      </c>
      <c r="S18" s="122">
        <f t="shared" si="7"/>
        <v>0</v>
      </c>
      <c r="T18" s="122">
        <f t="shared" si="8"/>
        <v>0</v>
      </c>
      <c r="U18" s="122">
        <f t="shared" si="9"/>
        <v>0</v>
      </c>
      <c r="V18" s="30">
        <f t="shared" si="10"/>
        <v>0</v>
      </c>
      <c r="W18" s="30">
        <f t="shared" si="11"/>
        <v>0</v>
      </c>
      <c r="X18" s="30">
        <f t="shared" si="12"/>
        <v>0</v>
      </c>
      <c r="Y18" s="30">
        <f t="shared" si="12"/>
        <v>0</v>
      </c>
      <c r="Z18" s="130"/>
    </row>
    <row r="19" spans="1:27" s="131" customFormat="1" ht="54.95" customHeight="1">
      <c r="A19" s="209">
        <v>16</v>
      </c>
      <c r="B19" s="258" t="s">
        <v>414</v>
      </c>
      <c r="C19" s="211">
        <v>3</v>
      </c>
      <c r="D19" s="212">
        <v>0</v>
      </c>
      <c r="E19" s="212">
        <v>1</v>
      </c>
      <c r="F19" s="212">
        <v>0</v>
      </c>
      <c r="G19" s="212">
        <v>1</v>
      </c>
      <c r="H19" s="212">
        <v>5</v>
      </c>
      <c r="I19" s="212">
        <v>3</v>
      </c>
      <c r="J19" s="213">
        <v>0</v>
      </c>
      <c r="K19" s="213">
        <v>0</v>
      </c>
      <c r="L19" s="297">
        <f t="shared" si="0"/>
        <v>0</v>
      </c>
      <c r="M19" s="298">
        <f t="shared" si="1"/>
        <v>0</v>
      </c>
      <c r="N19" s="122">
        <f t="shared" si="2"/>
        <v>0</v>
      </c>
      <c r="O19" s="122">
        <f t="shared" si="3"/>
        <v>0</v>
      </c>
      <c r="P19" s="122">
        <f t="shared" si="4"/>
        <v>0</v>
      </c>
      <c r="Q19" s="122">
        <f t="shared" si="5"/>
        <v>0</v>
      </c>
      <c r="R19" s="122">
        <f t="shared" si="6"/>
        <v>0</v>
      </c>
      <c r="S19" s="122">
        <f t="shared" si="7"/>
        <v>0</v>
      </c>
      <c r="T19" s="122">
        <f t="shared" si="8"/>
        <v>0</v>
      </c>
      <c r="U19" s="122">
        <f t="shared" si="9"/>
        <v>0</v>
      </c>
      <c r="V19" s="30">
        <f t="shared" si="10"/>
        <v>0</v>
      </c>
      <c r="W19" s="30">
        <f t="shared" si="11"/>
        <v>0</v>
      </c>
      <c r="X19" s="30">
        <f t="shared" si="12"/>
        <v>0</v>
      </c>
      <c r="Y19" s="30">
        <f t="shared" si="12"/>
        <v>0</v>
      </c>
      <c r="Z19" s="130"/>
    </row>
    <row r="20" spans="1:27" s="131" customFormat="1" ht="54.95" customHeight="1">
      <c r="A20" s="209">
        <v>17</v>
      </c>
      <c r="B20" s="258" t="s">
        <v>415</v>
      </c>
      <c r="C20" s="211">
        <v>4</v>
      </c>
      <c r="D20" s="212">
        <v>0</v>
      </c>
      <c r="E20" s="212">
        <v>1</v>
      </c>
      <c r="F20" s="212">
        <v>1</v>
      </c>
      <c r="G20" s="212">
        <v>1</v>
      </c>
      <c r="H20" s="212">
        <v>5</v>
      </c>
      <c r="I20" s="212">
        <v>3</v>
      </c>
      <c r="J20" s="213">
        <v>0</v>
      </c>
      <c r="K20" s="213">
        <v>0</v>
      </c>
      <c r="L20" s="297">
        <f t="shared" si="0"/>
        <v>0</v>
      </c>
      <c r="M20" s="298">
        <f t="shared" si="1"/>
        <v>0</v>
      </c>
      <c r="N20" s="122">
        <f t="shared" si="2"/>
        <v>0</v>
      </c>
      <c r="O20" s="122">
        <f t="shared" si="3"/>
        <v>0</v>
      </c>
      <c r="P20" s="122">
        <f t="shared" si="4"/>
        <v>0</v>
      </c>
      <c r="Q20" s="122">
        <f t="shared" si="5"/>
        <v>0</v>
      </c>
      <c r="R20" s="122">
        <f t="shared" si="6"/>
        <v>0</v>
      </c>
      <c r="S20" s="122">
        <f t="shared" si="7"/>
        <v>0</v>
      </c>
      <c r="T20" s="122">
        <f t="shared" si="8"/>
        <v>0</v>
      </c>
      <c r="U20" s="122">
        <f t="shared" si="9"/>
        <v>0</v>
      </c>
      <c r="V20" s="30">
        <f t="shared" si="10"/>
        <v>0</v>
      </c>
      <c r="W20" s="30">
        <f t="shared" si="11"/>
        <v>0</v>
      </c>
      <c r="X20" s="30">
        <f t="shared" ref="X20:Y72" si="13">L20*(V20/(V20-0.0000001))</f>
        <v>0</v>
      </c>
      <c r="Y20" s="30">
        <f t="shared" si="13"/>
        <v>0</v>
      </c>
      <c r="Z20" s="130"/>
    </row>
    <row r="21" spans="1:27" s="131" customFormat="1" ht="54.95" customHeight="1">
      <c r="A21" s="209">
        <v>18</v>
      </c>
      <c r="B21" s="258" t="s">
        <v>1386</v>
      </c>
      <c r="C21" s="211">
        <v>1</v>
      </c>
      <c r="D21" s="212">
        <v>0</v>
      </c>
      <c r="E21" s="212">
        <v>1</v>
      </c>
      <c r="F21" s="212">
        <v>0</v>
      </c>
      <c r="G21" s="212">
        <v>0</v>
      </c>
      <c r="H21" s="212">
        <v>2</v>
      </c>
      <c r="I21" s="212">
        <v>3</v>
      </c>
      <c r="J21" s="213">
        <v>0</v>
      </c>
      <c r="K21" s="213">
        <v>0</v>
      </c>
      <c r="L21" s="297">
        <f t="shared" si="0"/>
        <v>0</v>
      </c>
      <c r="M21" s="298">
        <f t="shared" si="1"/>
        <v>0</v>
      </c>
      <c r="N21" s="122">
        <f t="shared" si="2"/>
        <v>0</v>
      </c>
      <c r="O21" s="122">
        <f t="shared" si="3"/>
        <v>0</v>
      </c>
      <c r="P21" s="122">
        <f t="shared" si="4"/>
        <v>0</v>
      </c>
      <c r="Q21" s="122">
        <f t="shared" si="5"/>
        <v>0</v>
      </c>
      <c r="R21" s="122">
        <f t="shared" si="6"/>
        <v>0</v>
      </c>
      <c r="S21" s="122">
        <f t="shared" si="7"/>
        <v>0</v>
      </c>
      <c r="T21" s="122">
        <f t="shared" si="8"/>
        <v>0</v>
      </c>
      <c r="U21" s="122">
        <f t="shared" si="9"/>
        <v>0</v>
      </c>
      <c r="V21" s="30">
        <f t="shared" si="10"/>
        <v>0</v>
      </c>
      <c r="W21" s="30">
        <f t="shared" si="11"/>
        <v>0</v>
      </c>
      <c r="X21" s="30">
        <f t="shared" si="13"/>
        <v>0</v>
      </c>
      <c r="Y21" s="30">
        <f t="shared" si="13"/>
        <v>0</v>
      </c>
      <c r="Z21" s="130"/>
    </row>
    <row r="22" spans="1:27" s="131" customFormat="1" ht="54.95" customHeight="1">
      <c r="A22" s="209">
        <v>19</v>
      </c>
      <c r="B22" s="258" t="s">
        <v>1385</v>
      </c>
      <c r="C22" s="211">
        <v>1.1999999999999999E-3</v>
      </c>
      <c r="D22" s="212">
        <v>0</v>
      </c>
      <c r="E22" s="212">
        <v>0</v>
      </c>
      <c r="F22" s="212">
        <v>0</v>
      </c>
      <c r="G22" s="212">
        <v>1</v>
      </c>
      <c r="H22" s="212">
        <v>1</v>
      </c>
      <c r="I22" s="212">
        <v>4</v>
      </c>
      <c r="J22" s="213">
        <v>0</v>
      </c>
      <c r="K22" s="213">
        <v>0</v>
      </c>
      <c r="L22" s="297">
        <f t="shared" si="0"/>
        <v>0</v>
      </c>
      <c r="M22" s="298">
        <f t="shared" si="1"/>
        <v>0</v>
      </c>
      <c r="N22" s="122">
        <f t="shared" si="2"/>
        <v>0</v>
      </c>
      <c r="O22" s="122">
        <f t="shared" si="3"/>
        <v>0</v>
      </c>
      <c r="P22" s="122">
        <f t="shared" si="4"/>
        <v>0</v>
      </c>
      <c r="Q22" s="122">
        <f t="shared" si="5"/>
        <v>0</v>
      </c>
      <c r="R22" s="122">
        <f t="shared" si="6"/>
        <v>0</v>
      </c>
      <c r="S22" s="122">
        <f t="shared" si="7"/>
        <v>0</v>
      </c>
      <c r="T22" s="122">
        <f t="shared" si="8"/>
        <v>0</v>
      </c>
      <c r="U22" s="122">
        <f t="shared" si="9"/>
        <v>0</v>
      </c>
      <c r="V22" s="30">
        <f t="shared" si="10"/>
        <v>0</v>
      </c>
      <c r="W22" s="30">
        <f t="shared" si="11"/>
        <v>0</v>
      </c>
      <c r="X22" s="30">
        <f t="shared" si="13"/>
        <v>0</v>
      </c>
      <c r="Y22" s="30">
        <f t="shared" si="13"/>
        <v>0</v>
      </c>
      <c r="Z22" s="130"/>
    </row>
    <row r="23" spans="1:27" s="131" customFormat="1" ht="54.95" customHeight="1">
      <c r="A23" s="209">
        <v>20</v>
      </c>
      <c r="B23" s="258" t="s">
        <v>1384</v>
      </c>
      <c r="C23" s="211">
        <v>6.0000000000000001E-3</v>
      </c>
      <c r="D23" s="212">
        <v>0</v>
      </c>
      <c r="E23" s="212">
        <v>0</v>
      </c>
      <c r="F23" s="212">
        <v>0</v>
      </c>
      <c r="G23" s="212">
        <v>1</v>
      </c>
      <c r="H23" s="212">
        <v>1</v>
      </c>
      <c r="I23" s="212">
        <v>4</v>
      </c>
      <c r="J23" s="213">
        <v>0</v>
      </c>
      <c r="K23" s="213">
        <v>0</v>
      </c>
      <c r="L23" s="297">
        <f t="shared" si="0"/>
        <v>0</v>
      </c>
      <c r="M23" s="298">
        <f t="shared" si="1"/>
        <v>0</v>
      </c>
      <c r="N23" s="122">
        <f t="shared" si="2"/>
        <v>0</v>
      </c>
      <c r="O23" s="122">
        <f t="shared" si="3"/>
        <v>0</v>
      </c>
      <c r="P23" s="122">
        <f t="shared" si="4"/>
        <v>0</v>
      </c>
      <c r="Q23" s="122">
        <f t="shared" si="5"/>
        <v>0</v>
      </c>
      <c r="R23" s="122">
        <f t="shared" si="6"/>
        <v>0</v>
      </c>
      <c r="S23" s="122">
        <f t="shared" si="7"/>
        <v>0</v>
      </c>
      <c r="T23" s="122">
        <f t="shared" si="8"/>
        <v>0</v>
      </c>
      <c r="U23" s="122">
        <f t="shared" si="9"/>
        <v>0</v>
      </c>
      <c r="V23" s="30">
        <f t="shared" si="10"/>
        <v>0</v>
      </c>
      <c r="W23" s="30">
        <f t="shared" si="11"/>
        <v>0</v>
      </c>
      <c r="X23" s="30">
        <f t="shared" si="13"/>
        <v>0</v>
      </c>
      <c r="Y23" s="30">
        <f t="shared" si="13"/>
        <v>0</v>
      </c>
      <c r="Z23" s="130"/>
    </row>
    <row r="24" spans="1:27" s="131" customFormat="1" ht="54.95" customHeight="1">
      <c r="A24" s="209">
        <v>21</v>
      </c>
      <c r="B24" s="258" t="s">
        <v>247</v>
      </c>
      <c r="C24" s="211">
        <v>8.0000000000000002E-3</v>
      </c>
      <c r="D24" s="212">
        <v>0</v>
      </c>
      <c r="E24" s="212">
        <v>0</v>
      </c>
      <c r="F24" s="212">
        <v>0</v>
      </c>
      <c r="G24" s="212">
        <v>1</v>
      </c>
      <c r="H24" s="212">
        <v>1</v>
      </c>
      <c r="I24" s="212">
        <v>4</v>
      </c>
      <c r="J24" s="213">
        <v>0</v>
      </c>
      <c r="K24" s="213">
        <v>0</v>
      </c>
      <c r="L24" s="297">
        <f t="shared" si="0"/>
        <v>0</v>
      </c>
      <c r="M24" s="298">
        <f t="shared" si="1"/>
        <v>0</v>
      </c>
      <c r="N24" s="122">
        <f t="shared" si="2"/>
        <v>0</v>
      </c>
      <c r="O24" s="122">
        <f t="shared" si="3"/>
        <v>0</v>
      </c>
      <c r="P24" s="122">
        <f t="shared" si="4"/>
        <v>0</v>
      </c>
      <c r="Q24" s="122">
        <f t="shared" si="5"/>
        <v>0</v>
      </c>
      <c r="R24" s="122">
        <f t="shared" si="6"/>
        <v>0</v>
      </c>
      <c r="S24" s="122">
        <f t="shared" si="7"/>
        <v>0</v>
      </c>
      <c r="T24" s="122">
        <f t="shared" si="8"/>
        <v>0</v>
      </c>
      <c r="U24" s="122">
        <f t="shared" si="9"/>
        <v>0</v>
      </c>
      <c r="V24" s="30">
        <f t="shared" si="10"/>
        <v>0</v>
      </c>
      <c r="W24" s="30">
        <f t="shared" si="11"/>
        <v>0</v>
      </c>
      <c r="X24" s="30">
        <f t="shared" si="13"/>
        <v>0</v>
      </c>
      <c r="Y24" s="30">
        <f t="shared" si="13"/>
        <v>0</v>
      </c>
      <c r="Z24" s="130"/>
    </row>
    <row r="25" spans="1:27" ht="54.95" customHeight="1">
      <c r="A25" s="209">
        <v>22</v>
      </c>
      <c r="B25" s="258" t="s">
        <v>1360</v>
      </c>
      <c r="C25" s="211">
        <v>3</v>
      </c>
      <c r="D25" s="212">
        <v>0</v>
      </c>
      <c r="E25" s="212">
        <v>1</v>
      </c>
      <c r="F25" s="212">
        <v>0</v>
      </c>
      <c r="G25" s="212">
        <v>0</v>
      </c>
      <c r="H25" s="212">
        <v>3</v>
      </c>
      <c r="I25" s="212">
        <v>4</v>
      </c>
      <c r="J25" s="213">
        <v>0</v>
      </c>
      <c r="K25" s="213">
        <v>0</v>
      </c>
      <c r="L25" s="297">
        <f t="shared" si="0"/>
        <v>0</v>
      </c>
      <c r="M25" s="298">
        <f t="shared" si="1"/>
        <v>0</v>
      </c>
      <c r="N25" s="122">
        <f t="shared" si="2"/>
        <v>0</v>
      </c>
      <c r="O25" s="122">
        <f t="shared" si="3"/>
        <v>0</v>
      </c>
      <c r="P25" s="122">
        <f t="shared" si="4"/>
        <v>0</v>
      </c>
      <c r="Q25" s="122">
        <f t="shared" si="5"/>
        <v>0</v>
      </c>
      <c r="R25" s="122">
        <f t="shared" si="6"/>
        <v>0</v>
      </c>
      <c r="S25" s="122">
        <f t="shared" si="7"/>
        <v>0</v>
      </c>
      <c r="T25" s="122">
        <f t="shared" si="8"/>
        <v>0</v>
      </c>
      <c r="U25" s="122">
        <f t="shared" si="9"/>
        <v>0</v>
      </c>
      <c r="V25" s="30">
        <f t="shared" si="10"/>
        <v>0</v>
      </c>
      <c r="W25" s="30">
        <f t="shared" si="11"/>
        <v>0</v>
      </c>
      <c r="X25" s="30">
        <f t="shared" si="13"/>
        <v>0</v>
      </c>
      <c r="Y25" s="30">
        <f t="shared" si="13"/>
        <v>0</v>
      </c>
      <c r="Z25" s="2"/>
      <c r="AA25" s="3"/>
    </row>
    <row r="26" spans="1:27" ht="54.95" customHeight="1">
      <c r="A26" s="209">
        <v>23</v>
      </c>
      <c r="B26" s="258" t="s">
        <v>1361</v>
      </c>
      <c r="C26" s="211">
        <v>2</v>
      </c>
      <c r="D26" s="212">
        <v>0</v>
      </c>
      <c r="E26" s="212">
        <v>1</v>
      </c>
      <c r="F26" s="212">
        <v>0</v>
      </c>
      <c r="G26" s="212">
        <v>0</v>
      </c>
      <c r="H26" s="212">
        <v>3</v>
      </c>
      <c r="I26" s="212">
        <v>4</v>
      </c>
      <c r="J26" s="213">
        <v>0</v>
      </c>
      <c r="K26" s="213">
        <v>0</v>
      </c>
      <c r="L26" s="297">
        <f t="shared" si="0"/>
        <v>0</v>
      </c>
      <c r="M26" s="298">
        <f t="shared" si="1"/>
        <v>0</v>
      </c>
      <c r="N26" s="122">
        <f t="shared" si="2"/>
        <v>0</v>
      </c>
      <c r="O26" s="122">
        <f t="shared" si="3"/>
        <v>0</v>
      </c>
      <c r="P26" s="122">
        <f t="shared" si="4"/>
        <v>0</v>
      </c>
      <c r="Q26" s="122">
        <f t="shared" si="5"/>
        <v>0</v>
      </c>
      <c r="R26" s="122">
        <f t="shared" si="6"/>
        <v>0</v>
      </c>
      <c r="S26" s="122">
        <f t="shared" si="7"/>
        <v>0</v>
      </c>
      <c r="T26" s="122">
        <f t="shared" si="8"/>
        <v>0</v>
      </c>
      <c r="U26" s="122">
        <f t="shared" si="9"/>
        <v>0</v>
      </c>
      <c r="V26" s="30">
        <f t="shared" si="10"/>
        <v>0</v>
      </c>
      <c r="W26" s="30">
        <f t="shared" si="11"/>
        <v>0</v>
      </c>
      <c r="X26" s="30">
        <f t="shared" si="13"/>
        <v>0</v>
      </c>
      <c r="Y26" s="30">
        <f t="shared" si="13"/>
        <v>0</v>
      </c>
      <c r="Z26" s="2"/>
      <c r="AA26" s="3"/>
    </row>
    <row r="27" spans="1:27" ht="54.95" customHeight="1">
      <c r="A27" s="209">
        <v>24</v>
      </c>
      <c r="B27" s="258" t="s">
        <v>416</v>
      </c>
      <c r="C27" s="211">
        <v>3</v>
      </c>
      <c r="D27" s="212">
        <v>0</v>
      </c>
      <c r="E27" s="212">
        <v>1</v>
      </c>
      <c r="F27" s="212">
        <v>0</v>
      </c>
      <c r="G27" s="212">
        <v>1</v>
      </c>
      <c r="H27" s="212">
        <v>3</v>
      </c>
      <c r="I27" s="212">
        <v>3</v>
      </c>
      <c r="J27" s="213">
        <v>0</v>
      </c>
      <c r="K27" s="213">
        <v>0</v>
      </c>
      <c r="L27" s="297">
        <f t="shared" si="0"/>
        <v>0</v>
      </c>
      <c r="M27" s="298">
        <f t="shared" si="1"/>
        <v>0</v>
      </c>
      <c r="N27" s="122">
        <f t="shared" si="2"/>
        <v>0</v>
      </c>
      <c r="O27" s="122">
        <f t="shared" si="3"/>
        <v>0</v>
      </c>
      <c r="P27" s="122">
        <f t="shared" si="4"/>
        <v>0</v>
      </c>
      <c r="Q27" s="122">
        <f t="shared" si="5"/>
        <v>0</v>
      </c>
      <c r="R27" s="122">
        <f t="shared" si="6"/>
        <v>0</v>
      </c>
      <c r="S27" s="122">
        <f t="shared" si="7"/>
        <v>0</v>
      </c>
      <c r="T27" s="122">
        <f t="shared" si="8"/>
        <v>0</v>
      </c>
      <c r="U27" s="122">
        <f t="shared" si="9"/>
        <v>0</v>
      </c>
      <c r="V27" s="30">
        <f t="shared" si="10"/>
        <v>0</v>
      </c>
      <c r="W27" s="30">
        <f t="shared" si="11"/>
        <v>0</v>
      </c>
      <c r="X27" s="30">
        <f t="shared" si="13"/>
        <v>0</v>
      </c>
      <c r="Y27" s="30">
        <f t="shared" si="13"/>
        <v>0</v>
      </c>
      <c r="Z27" s="2"/>
      <c r="AA27" s="3"/>
    </row>
    <row r="28" spans="1:27" ht="54.95" customHeight="1">
      <c r="A28" s="209">
        <v>25</v>
      </c>
      <c r="B28" s="258" t="s">
        <v>1362</v>
      </c>
      <c r="C28" s="211">
        <v>1</v>
      </c>
      <c r="D28" s="212">
        <v>0</v>
      </c>
      <c r="E28" s="212">
        <v>1</v>
      </c>
      <c r="F28" s="212">
        <v>1</v>
      </c>
      <c r="G28" s="212">
        <v>1</v>
      </c>
      <c r="H28" s="212">
        <v>1</v>
      </c>
      <c r="I28" s="212">
        <v>1</v>
      </c>
      <c r="J28" s="213">
        <v>0</v>
      </c>
      <c r="K28" s="213">
        <v>0</v>
      </c>
      <c r="L28" s="297">
        <f t="shared" si="0"/>
        <v>0</v>
      </c>
      <c r="M28" s="298">
        <f t="shared" si="1"/>
        <v>0</v>
      </c>
      <c r="N28" s="122">
        <f t="shared" si="2"/>
        <v>0</v>
      </c>
      <c r="O28" s="122">
        <f t="shared" si="3"/>
        <v>0</v>
      </c>
      <c r="P28" s="122">
        <f t="shared" si="4"/>
        <v>0</v>
      </c>
      <c r="Q28" s="122">
        <f t="shared" si="5"/>
        <v>0</v>
      </c>
      <c r="R28" s="122">
        <f t="shared" si="6"/>
        <v>0</v>
      </c>
      <c r="S28" s="122">
        <f t="shared" si="7"/>
        <v>0</v>
      </c>
      <c r="T28" s="122">
        <f t="shared" si="8"/>
        <v>0</v>
      </c>
      <c r="U28" s="122">
        <f t="shared" si="9"/>
        <v>0</v>
      </c>
      <c r="V28" s="30">
        <f t="shared" si="10"/>
        <v>0</v>
      </c>
      <c r="W28" s="30">
        <f t="shared" si="11"/>
        <v>0</v>
      </c>
      <c r="X28" s="30">
        <f t="shared" si="13"/>
        <v>0</v>
      </c>
      <c r="Y28" s="30">
        <f t="shared" si="13"/>
        <v>0</v>
      </c>
      <c r="Z28" s="2"/>
      <c r="AA28" s="3"/>
    </row>
    <row r="29" spans="1:27" ht="54.95" customHeight="1">
      <c r="A29" s="209">
        <v>26</v>
      </c>
      <c r="B29" s="258" t="s">
        <v>418</v>
      </c>
      <c r="C29" s="211">
        <v>1.5</v>
      </c>
      <c r="D29" s="212">
        <v>0</v>
      </c>
      <c r="E29" s="212">
        <v>1</v>
      </c>
      <c r="F29" s="212">
        <v>0</v>
      </c>
      <c r="G29" s="212">
        <v>0</v>
      </c>
      <c r="H29" s="212">
        <v>5</v>
      </c>
      <c r="I29" s="212">
        <v>4</v>
      </c>
      <c r="J29" s="213">
        <v>0</v>
      </c>
      <c r="K29" s="213">
        <v>0</v>
      </c>
      <c r="L29" s="297">
        <f t="shared" si="0"/>
        <v>0</v>
      </c>
      <c r="M29" s="298">
        <f t="shared" si="1"/>
        <v>0</v>
      </c>
      <c r="N29" s="122">
        <f t="shared" si="2"/>
        <v>0</v>
      </c>
      <c r="O29" s="122">
        <f t="shared" si="3"/>
        <v>0</v>
      </c>
      <c r="P29" s="122">
        <f t="shared" si="4"/>
        <v>0</v>
      </c>
      <c r="Q29" s="122">
        <f t="shared" si="5"/>
        <v>0</v>
      </c>
      <c r="R29" s="122">
        <f t="shared" si="6"/>
        <v>0</v>
      </c>
      <c r="S29" s="122">
        <f t="shared" si="7"/>
        <v>0</v>
      </c>
      <c r="T29" s="122">
        <f t="shared" si="8"/>
        <v>0</v>
      </c>
      <c r="U29" s="122">
        <f t="shared" si="9"/>
        <v>0</v>
      </c>
      <c r="V29" s="30">
        <f t="shared" si="10"/>
        <v>0</v>
      </c>
      <c r="W29" s="30">
        <f t="shared" si="11"/>
        <v>0</v>
      </c>
      <c r="X29" s="30">
        <f t="shared" si="13"/>
        <v>0</v>
      </c>
      <c r="Y29" s="30">
        <f t="shared" si="13"/>
        <v>0</v>
      </c>
      <c r="Z29" s="2"/>
    </row>
    <row r="30" spans="1:27" ht="54.95" customHeight="1">
      <c r="A30" s="209">
        <v>27</v>
      </c>
      <c r="B30" s="258" t="s">
        <v>419</v>
      </c>
      <c r="C30" s="211">
        <v>2</v>
      </c>
      <c r="D30" s="212">
        <v>0</v>
      </c>
      <c r="E30" s="212">
        <v>1</v>
      </c>
      <c r="F30" s="212">
        <v>0</v>
      </c>
      <c r="G30" s="212">
        <v>0</v>
      </c>
      <c r="H30" s="212">
        <v>5</v>
      </c>
      <c r="I30" s="212">
        <v>4</v>
      </c>
      <c r="J30" s="213">
        <v>0</v>
      </c>
      <c r="K30" s="213">
        <v>0</v>
      </c>
      <c r="L30" s="297">
        <f t="shared" si="0"/>
        <v>0</v>
      </c>
      <c r="M30" s="298">
        <f t="shared" si="1"/>
        <v>0</v>
      </c>
      <c r="N30" s="122">
        <f t="shared" si="2"/>
        <v>0</v>
      </c>
      <c r="O30" s="122">
        <f t="shared" si="3"/>
        <v>0</v>
      </c>
      <c r="P30" s="122">
        <f t="shared" si="4"/>
        <v>0</v>
      </c>
      <c r="Q30" s="122">
        <f t="shared" si="5"/>
        <v>0</v>
      </c>
      <c r="R30" s="122">
        <f t="shared" si="6"/>
        <v>0</v>
      </c>
      <c r="S30" s="122">
        <f t="shared" si="7"/>
        <v>0</v>
      </c>
      <c r="T30" s="122">
        <f t="shared" si="8"/>
        <v>0</v>
      </c>
      <c r="U30" s="122">
        <f t="shared" si="9"/>
        <v>0</v>
      </c>
      <c r="V30" s="30">
        <f t="shared" si="10"/>
        <v>0</v>
      </c>
      <c r="W30" s="30">
        <f t="shared" si="11"/>
        <v>0</v>
      </c>
      <c r="X30" s="30">
        <f t="shared" si="13"/>
        <v>0</v>
      </c>
      <c r="Y30" s="30">
        <f t="shared" si="13"/>
        <v>0</v>
      </c>
      <c r="Z30" s="2"/>
    </row>
    <row r="31" spans="1:27" ht="54.95" customHeight="1">
      <c r="A31" s="209">
        <v>28</v>
      </c>
      <c r="B31" s="258" t="s">
        <v>420</v>
      </c>
      <c r="C31" s="211">
        <v>3</v>
      </c>
      <c r="D31" s="212">
        <v>0</v>
      </c>
      <c r="E31" s="212">
        <v>1</v>
      </c>
      <c r="F31" s="212">
        <v>1</v>
      </c>
      <c r="G31" s="212">
        <v>0</v>
      </c>
      <c r="H31" s="212">
        <v>4</v>
      </c>
      <c r="I31" s="212">
        <v>4</v>
      </c>
      <c r="J31" s="213">
        <v>0</v>
      </c>
      <c r="K31" s="213">
        <v>0</v>
      </c>
      <c r="L31" s="297">
        <f t="shared" si="0"/>
        <v>0</v>
      </c>
      <c r="M31" s="298">
        <f t="shared" si="1"/>
        <v>0</v>
      </c>
      <c r="N31" s="122">
        <f t="shared" si="2"/>
        <v>0</v>
      </c>
      <c r="O31" s="122">
        <f t="shared" si="3"/>
        <v>0</v>
      </c>
      <c r="P31" s="122">
        <f t="shared" si="4"/>
        <v>0</v>
      </c>
      <c r="Q31" s="122">
        <f t="shared" si="5"/>
        <v>0</v>
      </c>
      <c r="R31" s="122">
        <f t="shared" si="6"/>
        <v>0</v>
      </c>
      <c r="S31" s="122">
        <f t="shared" si="7"/>
        <v>0</v>
      </c>
      <c r="T31" s="122">
        <f t="shared" si="8"/>
        <v>0</v>
      </c>
      <c r="U31" s="122">
        <f t="shared" si="9"/>
        <v>0</v>
      </c>
      <c r="V31" s="30">
        <f t="shared" si="10"/>
        <v>0</v>
      </c>
      <c r="W31" s="30">
        <f t="shared" si="11"/>
        <v>0</v>
      </c>
      <c r="X31" s="30">
        <f t="shared" si="13"/>
        <v>0</v>
      </c>
      <c r="Y31" s="30">
        <f t="shared" si="13"/>
        <v>0</v>
      </c>
      <c r="Z31" s="2"/>
    </row>
    <row r="32" spans="1:27" ht="54.95" customHeight="1">
      <c r="A32" s="209">
        <v>29</v>
      </c>
      <c r="B32" s="258" t="s">
        <v>421</v>
      </c>
      <c r="C32" s="211">
        <v>2</v>
      </c>
      <c r="D32" s="212">
        <v>0</v>
      </c>
      <c r="E32" s="212">
        <v>1</v>
      </c>
      <c r="F32" s="212">
        <v>1</v>
      </c>
      <c r="G32" s="212">
        <v>0</v>
      </c>
      <c r="H32" s="212">
        <v>4</v>
      </c>
      <c r="I32" s="212">
        <v>4</v>
      </c>
      <c r="J32" s="213">
        <v>0</v>
      </c>
      <c r="K32" s="213">
        <v>0</v>
      </c>
      <c r="L32" s="297">
        <f t="shared" si="0"/>
        <v>0</v>
      </c>
      <c r="M32" s="298">
        <f t="shared" si="1"/>
        <v>0</v>
      </c>
      <c r="N32" s="122">
        <f t="shared" si="2"/>
        <v>0</v>
      </c>
      <c r="O32" s="122">
        <f t="shared" si="3"/>
        <v>0</v>
      </c>
      <c r="P32" s="122">
        <f t="shared" si="4"/>
        <v>0</v>
      </c>
      <c r="Q32" s="122">
        <f t="shared" si="5"/>
        <v>0</v>
      </c>
      <c r="R32" s="122">
        <f t="shared" si="6"/>
        <v>0</v>
      </c>
      <c r="S32" s="122">
        <f t="shared" si="7"/>
        <v>0</v>
      </c>
      <c r="T32" s="122">
        <f t="shared" si="8"/>
        <v>0</v>
      </c>
      <c r="U32" s="122">
        <f t="shared" si="9"/>
        <v>0</v>
      </c>
      <c r="V32" s="30">
        <f t="shared" si="10"/>
        <v>0</v>
      </c>
      <c r="W32" s="30">
        <f t="shared" si="11"/>
        <v>0</v>
      </c>
      <c r="X32" s="30">
        <f t="shared" si="13"/>
        <v>0</v>
      </c>
      <c r="Y32" s="30">
        <f t="shared" si="13"/>
        <v>0</v>
      </c>
      <c r="Z32" s="2"/>
    </row>
    <row r="33" spans="1:27" ht="54.95" customHeight="1">
      <c r="A33" s="209">
        <v>30</v>
      </c>
      <c r="B33" s="258" t="s">
        <v>422</v>
      </c>
      <c r="C33" s="211">
        <v>1.1000000000000001</v>
      </c>
      <c r="D33" s="212">
        <v>0</v>
      </c>
      <c r="E33" s="212">
        <v>0</v>
      </c>
      <c r="F33" s="212">
        <v>1</v>
      </c>
      <c r="G33" s="212">
        <v>0</v>
      </c>
      <c r="H33" s="212">
        <v>1</v>
      </c>
      <c r="I33" s="212">
        <v>1</v>
      </c>
      <c r="J33" s="213">
        <v>0</v>
      </c>
      <c r="K33" s="213">
        <v>0</v>
      </c>
      <c r="L33" s="297">
        <f t="shared" si="0"/>
        <v>0</v>
      </c>
      <c r="M33" s="298">
        <f t="shared" si="1"/>
        <v>0</v>
      </c>
      <c r="N33" s="122">
        <f t="shared" si="2"/>
        <v>0</v>
      </c>
      <c r="O33" s="122">
        <f t="shared" si="3"/>
        <v>0</v>
      </c>
      <c r="P33" s="122">
        <f t="shared" si="4"/>
        <v>0</v>
      </c>
      <c r="Q33" s="122">
        <f t="shared" si="5"/>
        <v>0</v>
      </c>
      <c r="R33" s="122">
        <f t="shared" si="6"/>
        <v>0</v>
      </c>
      <c r="S33" s="122">
        <f t="shared" si="7"/>
        <v>0</v>
      </c>
      <c r="T33" s="122">
        <f t="shared" si="8"/>
        <v>0</v>
      </c>
      <c r="U33" s="122">
        <f t="shared" si="9"/>
        <v>0</v>
      </c>
      <c r="V33" s="30">
        <f t="shared" si="10"/>
        <v>0</v>
      </c>
      <c r="W33" s="30">
        <f t="shared" si="11"/>
        <v>0</v>
      </c>
      <c r="X33" s="30">
        <f t="shared" si="13"/>
        <v>0</v>
      </c>
      <c r="Y33" s="30">
        <f t="shared" si="13"/>
        <v>0</v>
      </c>
      <c r="Z33" s="2"/>
    </row>
    <row r="34" spans="1:27" ht="54.95" customHeight="1">
      <c r="A34" s="209">
        <v>31</v>
      </c>
      <c r="B34" s="258" t="s">
        <v>423</v>
      </c>
      <c r="C34" s="211">
        <v>0.8</v>
      </c>
      <c r="D34" s="212">
        <v>0</v>
      </c>
      <c r="E34" s="212">
        <v>0</v>
      </c>
      <c r="F34" s="212">
        <v>1</v>
      </c>
      <c r="G34" s="212">
        <v>0</v>
      </c>
      <c r="H34" s="212">
        <v>1</v>
      </c>
      <c r="I34" s="212">
        <v>1</v>
      </c>
      <c r="J34" s="213">
        <v>0</v>
      </c>
      <c r="K34" s="213">
        <v>0</v>
      </c>
      <c r="L34" s="297">
        <f t="shared" si="0"/>
        <v>0</v>
      </c>
      <c r="M34" s="298">
        <f t="shared" si="1"/>
        <v>0</v>
      </c>
      <c r="N34" s="122">
        <f t="shared" si="2"/>
        <v>0</v>
      </c>
      <c r="O34" s="122">
        <f t="shared" si="3"/>
        <v>0</v>
      </c>
      <c r="P34" s="122">
        <f t="shared" si="4"/>
        <v>0</v>
      </c>
      <c r="Q34" s="122">
        <f t="shared" si="5"/>
        <v>0</v>
      </c>
      <c r="R34" s="122">
        <f t="shared" si="6"/>
        <v>0</v>
      </c>
      <c r="S34" s="122">
        <f t="shared" si="7"/>
        <v>0</v>
      </c>
      <c r="T34" s="122">
        <f t="shared" si="8"/>
        <v>0</v>
      </c>
      <c r="U34" s="122">
        <f t="shared" si="9"/>
        <v>0</v>
      </c>
      <c r="V34" s="30">
        <f t="shared" si="10"/>
        <v>0</v>
      </c>
      <c r="W34" s="30">
        <f t="shared" si="11"/>
        <v>0</v>
      </c>
      <c r="X34" s="30">
        <f t="shared" si="13"/>
        <v>0</v>
      </c>
      <c r="Y34" s="30">
        <f t="shared" si="13"/>
        <v>0</v>
      </c>
      <c r="Z34" s="2"/>
    </row>
    <row r="35" spans="1:27" ht="54.95" customHeight="1">
      <c r="A35" s="209">
        <v>32</v>
      </c>
      <c r="B35" s="258" t="s">
        <v>424</v>
      </c>
      <c r="C35" s="211">
        <v>6.0000000000000001E-3</v>
      </c>
      <c r="D35" s="212">
        <v>0</v>
      </c>
      <c r="E35" s="212">
        <v>1</v>
      </c>
      <c r="F35" s="212">
        <v>0</v>
      </c>
      <c r="G35" s="212">
        <v>0</v>
      </c>
      <c r="H35" s="212">
        <v>1</v>
      </c>
      <c r="I35" s="212">
        <v>1</v>
      </c>
      <c r="J35" s="213">
        <v>0</v>
      </c>
      <c r="K35" s="213">
        <v>0</v>
      </c>
      <c r="L35" s="297">
        <f t="shared" si="0"/>
        <v>0</v>
      </c>
      <c r="M35" s="298">
        <f t="shared" si="1"/>
        <v>0</v>
      </c>
      <c r="N35" s="122">
        <f t="shared" si="2"/>
        <v>0</v>
      </c>
      <c r="O35" s="122">
        <f t="shared" si="3"/>
        <v>0</v>
      </c>
      <c r="P35" s="122">
        <f t="shared" si="4"/>
        <v>0</v>
      </c>
      <c r="Q35" s="122">
        <f t="shared" si="5"/>
        <v>0</v>
      </c>
      <c r="R35" s="122">
        <f t="shared" si="6"/>
        <v>0</v>
      </c>
      <c r="S35" s="122">
        <f t="shared" si="7"/>
        <v>0</v>
      </c>
      <c r="T35" s="122">
        <f t="shared" si="8"/>
        <v>0</v>
      </c>
      <c r="U35" s="122">
        <f t="shared" si="9"/>
        <v>0</v>
      </c>
      <c r="V35" s="30">
        <f t="shared" si="10"/>
        <v>0</v>
      </c>
      <c r="W35" s="30">
        <f t="shared" si="11"/>
        <v>0</v>
      </c>
      <c r="X35" s="30">
        <f t="shared" si="13"/>
        <v>0</v>
      </c>
      <c r="Y35" s="30">
        <f t="shared" si="13"/>
        <v>0</v>
      </c>
      <c r="Z35" s="2"/>
      <c r="AA35" s="3"/>
    </row>
    <row r="36" spans="1:27" ht="54.95" customHeight="1">
      <c r="A36" s="209">
        <v>33</v>
      </c>
      <c r="B36" s="258" t="s">
        <v>425</v>
      </c>
      <c r="C36" s="211">
        <f>C35*6</f>
        <v>3.6000000000000004E-2</v>
      </c>
      <c r="D36" s="212">
        <v>0</v>
      </c>
      <c r="E36" s="212">
        <v>1</v>
      </c>
      <c r="F36" s="212">
        <v>0</v>
      </c>
      <c r="G36" s="212">
        <v>0</v>
      </c>
      <c r="H36" s="212">
        <v>1</v>
      </c>
      <c r="I36" s="212">
        <v>1</v>
      </c>
      <c r="J36" s="213">
        <v>0</v>
      </c>
      <c r="K36" s="213">
        <v>0</v>
      </c>
      <c r="L36" s="297">
        <f t="shared" si="0"/>
        <v>0</v>
      </c>
      <c r="M36" s="298">
        <f t="shared" si="1"/>
        <v>0</v>
      </c>
      <c r="N36" s="122">
        <f t="shared" si="2"/>
        <v>0</v>
      </c>
      <c r="O36" s="122">
        <f t="shared" si="3"/>
        <v>0</v>
      </c>
      <c r="P36" s="122">
        <f t="shared" si="4"/>
        <v>0</v>
      </c>
      <c r="Q36" s="122">
        <f t="shared" si="5"/>
        <v>0</v>
      </c>
      <c r="R36" s="122">
        <f t="shared" si="6"/>
        <v>0</v>
      </c>
      <c r="S36" s="122">
        <f t="shared" si="7"/>
        <v>0</v>
      </c>
      <c r="T36" s="122">
        <f t="shared" si="8"/>
        <v>0</v>
      </c>
      <c r="U36" s="122">
        <f t="shared" si="9"/>
        <v>0</v>
      </c>
      <c r="V36" s="30">
        <f t="shared" si="10"/>
        <v>0</v>
      </c>
      <c r="W36" s="30">
        <f t="shared" si="11"/>
        <v>0</v>
      </c>
      <c r="X36" s="30">
        <f t="shared" si="13"/>
        <v>0</v>
      </c>
      <c r="Y36" s="30">
        <f t="shared" si="13"/>
        <v>0</v>
      </c>
      <c r="Z36" s="2"/>
      <c r="AA36" s="3"/>
    </row>
    <row r="37" spans="1:27" ht="54.95" customHeight="1">
      <c r="A37" s="209">
        <v>34</v>
      </c>
      <c r="B37" s="258" t="s">
        <v>1363</v>
      </c>
      <c r="C37" s="211">
        <f>C35*2</f>
        <v>1.2E-2</v>
      </c>
      <c r="D37" s="212">
        <v>0</v>
      </c>
      <c r="E37" s="212">
        <v>0</v>
      </c>
      <c r="F37" s="212">
        <v>1</v>
      </c>
      <c r="G37" s="212">
        <v>0</v>
      </c>
      <c r="H37" s="212">
        <v>1</v>
      </c>
      <c r="I37" s="212">
        <v>1</v>
      </c>
      <c r="J37" s="213">
        <v>0</v>
      </c>
      <c r="K37" s="213">
        <v>0</v>
      </c>
      <c r="L37" s="297">
        <f t="shared" si="0"/>
        <v>0</v>
      </c>
      <c r="M37" s="298">
        <f t="shared" si="1"/>
        <v>0</v>
      </c>
      <c r="N37" s="122">
        <f t="shared" si="2"/>
        <v>0</v>
      </c>
      <c r="O37" s="122">
        <f t="shared" si="3"/>
        <v>0</v>
      </c>
      <c r="P37" s="122">
        <f t="shared" si="4"/>
        <v>0</v>
      </c>
      <c r="Q37" s="122">
        <f t="shared" si="5"/>
        <v>0</v>
      </c>
      <c r="R37" s="122">
        <f t="shared" si="6"/>
        <v>0</v>
      </c>
      <c r="S37" s="122">
        <f t="shared" si="7"/>
        <v>0</v>
      </c>
      <c r="T37" s="122">
        <f t="shared" si="8"/>
        <v>0</v>
      </c>
      <c r="U37" s="122">
        <f t="shared" si="9"/>
        <v>0</v>
      </c>
      <c r="V37" s="30">
        <f t="shared" si="10"/>
        <v>0</v>
      </c>
      <c r="W37" s="30">
        <f t="shared" si="11"/>
        <v>0</v>
      </c>
      <c r="X37" s="30">
        <f t="shared" si="13"/>
        <v>0</v>
      </c>
      <c r="Y37" s="30">
        <f t="shared" si="13"/>
        <v>0</v>
      </c>
      <c r="Z37" s="2"/>
      <c r="AA37" s="3"/>
    </row>
    <row r="38" spans="1:27" ht="54.95" customHeight="1">
      <c r="A38" s="209">
        <v>35</v>
      </c>
      <c r="B38" s="258" t="s">
        <v>1364</v>
      </c>
      <c r="C38" s="211">
        <f>C37*1.5</f>
        <v>1.8000000000000002E-2</v>
      </c>
      <c r="D38" s="212">
        <v>0</v>
      </c>
      <c r="E38" s="212">
        <v>0</v>
      </c>
      <c r="F38" s="212">
        <v>1</v>
      </c>
      <c r="G38" s="212">
        <v>0</v>
      </c>
      <c r="H38" s="212">
        <v>1</v>
      </c>
      <c r="I38" s="212">
        <v>1</v>
      </c>
      <c r="J38" s="213">
        <v>0</v>
      </c>
      <c r="K38" s="213">
        <v>0</v>
      </c>
      <c r="L38" s="297">
        <f t="shared" si="0"/>
        <v>0</v>
      </c>
      <c r="M38" s="298">
        <f t="shared" si="1"/>
        <v>0</v>
      </c>
      <c r="N38" s="122">
        <f t="shared" si="2"/>
        <v>0</v>
      </c>
      <c r="O38" s="122">
        <f t="shared" si="3"/>
        <v>0</v>
      </c>
      <c r="P38" s="122">
        <f t="shared" si="4"/>
        <v>0</v>
      </c>
      <c r="Q38" s="122">
        <f t="shared" si="5"/>
        <v>0</v>
      </c>
      <c r="R38" s="122">
        <f t="shared" si="6"/>
        <v>0</v>
      </c>
      <c r="S38" s="122">
        <f t="shared" si="7"/>
        <v>0</v>
      </c>
      <c r="T38" s="122">
        <f t="shared" si="8"/>
        <v>0</v>
      </c>
      <c r="U38" s="122">
        <f t="shared" si="9"/>
        <v>0</v>
      </c>
      <c r="V38" s="30">
        <f t="shared" si="10"/>
        <v>0</v>
      </c>
      <c r="W38" s="30">
        <f t="shared" si="11"/>
        <v>0</v>
      </c>
      <c r="X38" s="30">
        <f t="shared" si="13"/>
        <v>0</v>
      </c>
      <c r="Y38" s="30">
        <f t="shared" si="13"/>
        <v>0</v>
      </c>
      <c r="Z38" s="2"/>
      <c r="AA38" s="3"/>
    </row>
    <row r="39" spans="1:27" ht="54.95" customHeight="1">
      <c r="A39" s="209">
        <v>36</v>
      </c>
      <c r="B39" s="258" t="s">
        <v>1365</v>
      </c>
      <c r="C39" s="211">
        <f>C36*2</f>
        <v>7.2000000000000008E-2</v>
      </c>
      <c r="D39" s="212">
        <v>0</v>
      </c>
      <c r="E39" s="212">
        <v>0</v>
      </c>
      <c r="F39" s="212">
        <v>1</v>
      </c>
      <c r="G39" s="212">
        <v>0</v>
      </c>
      <c r="H39" s="212">
        <v>1</v>
      </c>
      <c r="I39" s="212">
        <v>1</v>
      </c>
      <c r="J39" s="213">
        <v>0</v>
      </c>
      <c r="K39" s="213">
        <v>0</v>
      </c>
      <c r="L39" s="297">
        <f t="shared" si="0"/>
        <v>0</v>
      </c>
      <c r="M39" s="298">
        <f t="shared" si="1"/>
        <v>0</v>
      </c>
      <c r="N39" s="122">
        <f t="shared" si="2"/>
        <v>0</v>
      </c>
      <c r="O39" s="122">
        <f t="shared" si="3"/>
        <v>0</v>
      </c>
      <c r="P39" s="122">
        <f t="shared" si="4"/>
        <v>0</v>
      </c>
      <c r="Q39" s="122">
        <f t="shared" si="5"/>
        <v>0</v>
      </c>
      <c r="R39" s="122">
        <f t="shared" si="6"/>
        <v>0</v>
      </c>
      <c r="S39" s="122">
        <f t="shared" si="7"/>
        <v>0</v>
      </c>
      <c r="T39" s="122">
        <f t="shared" si="8"/>
        <v>0</v>
      </c>
      <c r="U39" s="122">
        <f t="shared" si="9"/>
        <v>0</v>
      </c>
      <c r="V39" s="30">
        <f t="shared" si="10"/>
        <v>0</v>
      </c>
      <c r="W39" s="30">
        <f t="shared" si="11"/>
        <v>0</v>
      </c>
      <c r="X39" s="30">
        <f t="shared" si="13"/>
        <v>0</v>
      </c>
      <c r="Y39" s="30">
        <f t="shared" si="13"/>
        <v>0</v>
      </c>
      <c r="Z39" s="2"/>
      <c r="AA39" s="3"/>
    </row>
    <row r="40" spans="1:27" ht="54.95" customHeight="1">
      <c r="A40" s="209">
        <v>37</v>
      </c>
      <c r="B40" s="258" t="s">
        <v>1366</v>
      </c>
      <c r="C40" s="211">
        <f>C39*1.5</f>
        <v>0.10800000000000001</v>
      </c>
      <c r="D40" s="212">
        <v>0</v>
      </c>
      <c r="E40" s="212">
        <v>0</v>
      </c>
      <c r="F40" s="212">
        <v>1</v>
      </c>
      <c r="G40" s="212">
        <v>0</v>
      </c>
      <c r="H40" s="212">
        <v>1</v>
      </c>
      <c r="I40" s="212">
        <v>1</v>
      </c>
      <c r="J40" s="213">
        <v>0</v>
      </c>
      <c r="K40" s="213">
        <v>0</v>
      </c>
      <c r="L40" s="297">
        <f t="shared" si="0"/>
        <v>0</v>
      </c>
      <c r="M40" s="298">
        <f t="shared" si="1"/>
        <v>0</v>
      </c>
      <c r="N40" s="122">
        <f t="shared" si="2"/>
        <v>0</v>
      </c>
      <c r="O40" s="122">
        <f t="shared" si="3"/>
        <v>0</v>
      </c>
      <c r="P40" s="122">
        <f t="shared" si="4"/>
        <v>0</v>
      </c>
      <c r="Q40" s="122">
        <f t="shared" si="5"/>
        <v>0</v>
      </c>
      <c r="R40" s="122">
        <f t="shared" si="6"/>
        <v>0</v>
      </c>
      <c r="S40" s="122">
        <f t="shared" si="7"/>
        <v>0</v>
      </c>
      <c r="T40" s="122">
        <f t="shared" si="8"/>
        <v>0</v>
      </c>
      <c r="U40" s="122">
        <f t="shared" si="9"/>
        <v>0</v>
      </c>
      <c r="V40" s="30">
        <f t="shared" si="10"/>
        <v>0</v>
      </c>
      <c r="W40" s="30">
        <f t="shared" si="11"/>
        <v>0</v>
      </c>
      <c r="X40" s="30">
        <f t="shared" si="13"/>
        <v>0</v>
      </c>
      <c r="Y40" s="30">
        <f t="shared" si="13"/>
        <v>0</v>
      </c>
      <c r="Z40" s="2"/>
      <c r="AA40" s="3"/>
    </row>
    <row r="41" spans="1:27" ht="54.95" customHeight="1">
      <c r="A41" s="209">
        <v>38</v>
      </c>
      <c r="B41" s="258" t="s">
        <v>1367</v>
      </c>
      <c r="C41" s="211">
        <v>2.7999999999999998E-4</v>
      </c>
      <c r="D41" s="212">
        <v>0</v>
      </c>
      <c r="E41" s="212">
        <v>1</v>
      </c>
      <c r="F41" s="212">
        <v>1</v>
      </c>
      <c r="G41" s="212">
        <v>0</v>
      </c>
      <c r="H41" s="212">
        <v>1</v>
      </c>
      <c r="I41" s="212">
        <v>1</v>
      </c>
      <c r="J41" s="213">
        <v>0</v>
      </c>
      <c r="K41" s="213">
        <v>0</v>
      </c>
      <c r="L41" s="297">
        <f t="shared" si="0"/>
        <v>0</v>
      </c>
      <c r="M41" s="298">
        <f t="shared" si="1"/>
        <v>0</v>
      </c>
      <c r="N41" s="122">
        <f t="shared" si="2"/>
        <v>0</v>
      </c>
      <c r="O41" s="122">
        <f t="shared" si="3"/>
        <v>0</v>
      </c>
      <c r="P41" s="122">
        <f t="shared" si="4"/>
        <v>0</v>
      </c>
      <c r="Q41" s="122">
        <f t="shared" si="5"/>
        <v>0</v>
      </c>
      <c r="R41" s="122">
        <f t="shared" si="6"/>
        <v>0</v>
      </c>
      <c r="S41" s="122">
        <f t="shared" si="7"/>
        <v>0</v>
      </c>
      <c r="T41" s="122">
        <f t="shared" si="8"/>
        <v>0</v>
      </c>
      <c r="U41" s="122">
        <f t="shared" si="9"/>
        <v>0</v>
      </c>
      <c r="V41" s="30">
        <f t="shared" si="10"/>
        <v>0</v>
      </c>
      <c r="W41" s="30">
        <f t="shared" si="11"/>
        <v>0</v>
      </c>
      <c r="X41" s="30">
        <f t="shared" si="13"/>
        <v>0</v>
      </c>
      <c r="Y41" s="30">
        <f t="shared" si="13"/>
        <v>0</v>
      </c>
      <c r="Z41" s="2"/>
      <c r="AA41" s="3"/>
    </row>
    <row r="42" spans="1:27" ht="54.95" customHeight="1">
      <c r="A42" s="209">
        <v>39</v>
      </c>
      <c r="B42" s="258" t="s">
        <v>1368</v>
      </c>
      <c r="C42" s="211">
        <v>1.9799999999999999E-4</v>
      </c>
      <c r="D42" s="212">
        <v>0</v>
      </c>
      <c r="E42" s="212">
        <v>1</v>
      </c>
      <c r="F42" s="212">
        <v>1</v>
      </c>
      <c r="G42" s="212">
        <v>1</v>
      </c>
      <c r="H42" s="212">
        <v>1</v>
      </c>
      <c r="I42" s="212">
        <v>1</v>
      </c>
      <c r="J42" s="213">
        <v>0</v>
      </c>
      <c r="K42" s="213">
        <v>0</v>
      </c>
      <c r="L42" s="297">
        <f t="shared" si="0"/>
        <v>0</v>
      </c>
      <c r="M42" s="298">
        <f t="shared" si="1"/>
        <v>0</v>
      </c>
      <c r="N42" s="122">
        <f t="shared" si="2"/>
        <v>0</v>
      </c>
      <c r="O42" s="122">
        <f t="shared" si="3"/>
        <v>0</v>
      </c>
      <c r="P42" s="122">
        <f t="shared" si="4"/>
        <v>0</v>
      </c>
      <c r="Q42" s="122">
        <f t="shared" si="5"/>
        <v>0</v>
      </c>
      <c r="R42" s="122">
        <f t="shared" si="6"/>
        <v>0</v>
      </c>
      <c r="S42" s="122">
        <f t="shared" si="7"/>
        <v>0</v>
      </c>
      <c r="T42" s="122">
        <f t="shared" si="8"/>
        <v>0</v>
      </c>
      <c r="U42" s="122">
        <f t="shared" si="9"/>
        <v>0</v>
      </c>
      <c r="V42" s="30">
        <f t="shared" si="10"/>
        <v>0</v>
      </c>
      <c r="W42" s="30">
        <f t="shared" si="11"/>
        <v>0</v>
      </c>
      <c r="X42" s="30">
        <f t="shared" si="13"/>
        <v>0</v>
      </c>
      <c r="Y42" s="30">
        <f t="shared" si="13"/>
        <v>0</v>
      </c>
      <c r="Z42" s="2"/>
      <c r="AA42" s="3"/>
    </row>
    <row r="43" spans="1:27" ht="54.95" customHeight="1">
      <c r="A43" s="209">
        <v>40</v>
      </c>
      <c r="B43" s="258" t="s">
        <v>426</v>
      </c>
      <c r="C43" s="211">
        <v>1.2</v>
      </c>
      <c r="D43" s="212">
        <v>0</v>
      </c>
      <c r="E43" s="212">
        <v>1</v>
      </c>
      <c r="F43" s="212">
        <v>0</v>
      </c>
      <c r="G43" s="212">
        <v>0</v>
      </c>
      <c r="H43" s="212">
        <v>3</v>
      </c>
      <c r="I43" s="212">
        <v>3</v>
      </c>
      <c r="J43" s="213">
        <v>0</v>
      </c>
      <c r="K43" s="213">
        <v>0</v>
      </c>
      <c r="L43" s="297">
        <f t="shared" si="0"/>
        <v>0</v>
      </c>
      <c r="M43" s="298">
        <f t="shared" si="1"/>
        <v>0</v>
      </c>
      <c r="N43" s="122">
        <f t="shared" si="2"/>
        <v>0</v>
      </c>
      <c r="O43" s="122">
        <f t="shared" si="3"/>
        <v>0</v>
      </c>
      <c r="P43" s="122">
        <f t="shared" si="4"/>
        <v>0</v>
      </c>
      <c r="Q43" s="122">
        <f t="shared" si="5"/>
        <v>0</v>
      </c>
      <c r="R43" s="122">
        <f t="shared" si="6"/>
        <v>0</v>
      </c>
      <c r="S43" s="122">
        <f t="shared" si="7"/>
        <v>0</v>
      </c>
      <c r="T43" s="122">
        <f t="shared" si="8"/>
        <v>0</v>
      </c>
      <c r="U43" s="122">
        <f t="shared" si="9"/>
        <v>0</v>
      </c>
      <c r="V43" s="30">
        <f t="shared" si="10"/>
        <v>0</v>
      </c>
      <c r="W43" s="30">
        <f t="shared" si="11"/>
        <v>0</v>
      </c>
      <c r="X43" s="30">
        <f t="shared" si="13"/>
        <v>0</v>
      </c>
      <c r="Y43" s="30">
        <f t="shared" si="13"/>
        <v>0</v>
      </c>
      <c r="Z43" s="2"/>
      <c r="AA43" s="3"/>
    </row>
    <row r="44" spans="1:27" ht="54.95" customHeight="1">
      <c r="A44" s="209">
        <v>41</v>
      </c>
      <c r="B44" s="258" t="s">
        <v>427</v>
      </c>
      <c r="C44" s="211">
        <v>1.5</v>
      </c>
      <c r="D44" s="212">
        <v>0</v>
      </c>
      <c r="E44" s="212">
        <v>1</v>
      </c>
      <c r="F44" s="212">
        <v>1</v>
      </c>
      <c r="G44" s="212">
        <v>0</v>
      </c>
      <c r="H44" s="212">
        <v>4</v>
      </c>
      <c r="I44" s="212">
        <v>3</v>
      </c>
      <c r="J44" s="213">
        <v>0</v>
      </c>
      <c r="K44" s="213">
        <v>0</v>
      </c>
      <c r="L44" s="297">
        <f t="shared" si="0"/>
        <v>0</v>
      </c>
      <c r="M44" s="298">
        <f t="shared" si="1"/>
        <v>0</v>
      </c>
      <c r="N44" s="122">
        <f t="shared" si="2"/>
        <v>0</v>
      </c>
      <c r="O44" s="122">
        <f t="shared" si="3"/>
        <v>0</v>
      </c>
      <c r="P44" s="122">
        <f t="shared" si="4"/>
        <v>0</v>
      </c>
      <c r="Q44" s="122">
        <f t="shared" si="5"/>
        <v>0</v>
      </c>
      <c r="R44" s="122">
        <f t="shared" si="6"/>
        <v>0</v>
      </c>
      <c r="S44" s="122">
        <f t="shared" si="7"/>
        <v>0</v>
      </c>
      <c r="T44" s="122">
        <f t="shared" si="8"/>
        <v>0</v>
      </c>
      <c r="U44" s="122">
        <f t="shared" si="9"/>
        <v>0</v>
      </c>
      <c r="V44" s="30">
        <f t="shared" si="10"/>
        <v>0</v>
      </c>
      <c r="W44" s="30">
        <f t="shared" si="11"/>
        <v>0</v>
      </c>
      <c r="X44" s="30">
        <f t="shared" si="13"/>
        <v>0</v>
      </c>
      <c r="Y44" s="30">
        <f t="shared" si="13"/>
        <v>0</v>
      </c>
      <c r="Z44" s="2"/>
      <c r="AA44" s="3"/>
    </row>
    <row r="45" spans="1:27" ht="54.95" customHeight="1">
      <c r="A45" s="209">
        <v>42</v>
      </c>
      <c r="B45" s="258" t="s">
        <v>428</v>
      </c>
      <c r="C45" s="211">
        <v>1.8</v>
      </c>
      <c r="D45" s="212">
        <v>0</v>
      </c>
      <c r="E45" s="212">
        <v>1</v>
      </c>
      <c r="F45" s="212">
        <v>0</v>
      </c>
      <c r="G45" s="212">
        <v>0</v>
      </c>
      <c r="H45" s="212">
        <v>5</v>
      </c>
      <c r="I45" s="212">
        <v>3</v>
      </c>
      <c r="J45" s="213">
        <v>0</v>
      </c>
      <c r="K45" s="213">
        <v>0</v>
      </c>
      <c r="L45" s="297">
        <f t="shared" si="0"/>
        <v>0</v>
      </c>
      <c r="M45" s="298">
        <f t="shared" si="1"/>
        <v>0</v>
      </c>
      <c r="N45" s="122">
        <f t="shared" si="2"/>
        <v>0</v>
      </c>
      <c r="O45" s="122">
        <f t="shared" si="3"/>
        <v>0</v>
      </c>
      <c r="P45" s="122">
        <f t="shared" si="4"/>
        <v>0</v>
      </c>
      <c r="Q45" s="122">
        <f t="shared" si="5"/>
        <v>0</v>
      </c>
      <c r="R45" s="122">
        <f t="shared" si="6"/>
        <v>0</v>
      </c>
      <c r="S45" s="122">
        <f t="shared" si="7"/>
        <v>0</v>
      </c>
      <c r="T45" s="122">
        <f t="shared" si="8"/>
        <v>0</v>
      </c>
      <c r="U45" s="122">
        <f t="shared" si="9"/>
        <v>0</v>
      </c>
      <c r="V45" s="30">
        <f t="shared" si="10"/>
        <v>0</v>
      </c>
      <c r="W45" s="30">
        <f t="shared" si="11"/>
        <v>0</v>
      </c>
      <c r="X45" s="30">
        <f t="shared" si="13"/>
        <v>0</v>
      </c>
      <c r="Y45" s="30">
        <f t="shared" si="13"/>
        <v>0</v>
      </c>
      <c r="Z45" s="2"/>
      <c r="AA45" s="3"/>
    </row>
    <row r="46" spans="1:27" ht="54.95" customHeight="1">
      <c r="A46" s="209">
        <v>43</v>
      </c>
      <c r="B46" s="258" t="s">
        <v>429</v>
      </c>
      <c r="C46" s="211">
        <v>1.2</v>
      </c>
      <c r="D46" s="212">
        <v>0</v>
      </c>
      <c r="E46" s="212">
        <v>1</v>
      </c>
      <c r="F46" s="212">
        <v>0</v>
      </c>
      <c r="G46" s="212">
        <v>0</v>
      </c>
      <c r="H46" s="212">
        <v>3</v>
      </c>
      <c r="I46" s="212">
        <v>4</v>
      </c>
      <c r="J46" s="213">
        <v>0</v>
      </c>
      <c r="K46" s="213">
        <v>0</v>
      </c>
      <c r="L46" s="297">
        <f t="shared" si="0"/>
        <v>0</v>
      </c>
      <c r="M46" s="298">
        <f t="shared" si="1"/>
        <v>0</v>
      </c>
      <c r="N46" s="122">
        <f t="shared" si="2"/>
        <v>0</v>
      </c>
      <c r="O46" s="122">
        <f t="shared" si="3"/>
        <v>0</v>
      </c>
      <c r="P46" s="122">
        <f t="shared" si="4"/>
        <v>0</v>
      </c>
      <c r="Q46" s="122">
        <f t="shared" si="5"/>
        <v>0</v>
      </c>
      <c r="R46" s="122">
        <f t="shared" si="6"/>
        <v>0</v>
      </c>
      <c r="S46" s="122">
        <f t="shared" si="7"/>
        <v>0</v>
      </c>
      <c r="T46" s="122">
        <f t="shared" si="8"/>
        <v>0</v>
      </c>
      <c r="U46" s="122">
        <f t="shared" si="9"/>
        <v>0</v>
      </c>
      <c r="V46" s="30">
        <f t="shared" si="10"/>
        <v>0</v>
      </c>
      <c r="W46" s="30">
        <f t="shared" si="11"/>
        <v>0</v>
      </c>
      <c r="X46" s="30">
        <f t="shared" si="13"/>
        <v>0</v>
      </c>
      <c r="Y46" s="30">
        <f t="shared" si="13"/>
        <v>0</v>
      </c>
      <c r="Z46" s="2"/>
      <c r="AA46" s="3"/>
    </row>
    <row r="47" spans="1:27" ht="54.95" customHeight="1">
      <c r="A47" s="209">
        <v>44</v>
      </c>
      <c r="B47" s="258" t="s">
        <v>430</v>
      </c>
      <c r="C47" s="211">
        <v>1.5</v>
      </c>
      <c r="D47" s="212">
        <v>0</v>
      </c>
      <c r="E47" s="212">
        <v>1</v>
      </c>
      <c r="F47" s="212">
        <v>0</v>
      </c>
      <c r="G47" s="212">
        <v>0</v>
      </c>
      <c r="H47" s="212">
        <v>4</v>
      </c>
      <c r="I47" s="212">
        <v>4</v>
      </c>
      <c r="J47" s="213">
        <v>0</v>
      </c>
      <c r="K47" s="213">
        <v>0</v>
      </c>
      <c r="L47" s="297">
        <f t="shared" si="0"/>
        <v>0</v>
      </c>
      <c r="M47" s="298">
        <f t="shared" si="1"/>
        <v>0</v>
      </c>
      <c r="N47" s="122">
        <f t="shared" si="2"/>
        <v>0</v>
      </c>
      <c r="O47" s="122">
        <f t="shared" si="3"/>
        <v>0</v>
      </c>
      <c r="P47" s="122">
        <f t="shared" si="4"/>
        <v>0</v>
      </c>
      <c r="Q47" s="122">
        <f t="shared" si="5"/>
        <v>0</v>
      </c>
      <c r="R47" s="122">
        <f t="shared" si="6"/>
        <v>0</v>
      </c>
      <c r="S47" s="122">
        <f t="shared" si="7"/>
        <v>0</v>
      </c>
      <c r="T47" s="122">
        <f t="shared" si="8"/>
        <v>0</v>
      </c>
      <c r="U47" s="122">
        <f t="shared" si="9"/>
        <v>0</v>
      </c>
      <c r="V47" s="30">
        <f t="shared" si="10"/>
        <v>0</v>
      </c>
      <c r="W47" s="30">
        <f t="shared" si="11"/>
        <v>0</v>
      </c>
      <c r="X47" s="30">
        <f t="shared" si="13"/>
        <v>0</v>
      </c>
      <c r="Y47" s="30">
        <f t="shared" si="13"/>
        <v>0</v>
      </c>
      <c r="Z47" s="2"/>
      <c r="AA47" s="3"/>
    </row>
    <row r="48" spans="1:27" ht="54.95" customHeight="1">
      <c r="A48" s="209">
        <v>45</v>
      </c>
      <c r="B48" s="258" t="s">
        <v>431</v>
      </c>
      <c r="C48" s="211">
        <v>1.5</v>
      </c>
      <c r="D48" s="212">
        <v>0</v>
      </c>
      <c r="E48" s="212">
        <v>1</v>
      </c>
      <c r="F48" s="212">
        <v>0</v>
      </c>
      <c r="G48" s="212">
        <v>0</v>
      </c>
      <c r="H48" s="212">
        <v>3</v>
      </c>
      <c r="I48" s="212">
        <v>3</v>
      </c>
      <c r="J48" s="213">
        <v>0</v>
      </c>
      <c r="K48" s="213">
        <v>0</v>
      </c>
      <c r="L48" s="297">
        <f t="shared" si="0"/>
        <v>0</v>
      </c>
      <c r="M48" s="298">
        <f t="shared" si="1"/>
        <v>0</v>
      </c>
      <c r="N48" s="122">
        <f t="shared" si="2"/>
        <v>0</v>
      </c>
      <c r="O48" s="122">
        <f t="shared" si="3"/>
        <v>0</v>
      </c>
      <c r="P48" s="122">
        <f t="shared" si="4"/>
        <v>0</v>
      </c>
      <c r="Q48" s="122">
        <f t="shared" si="5"/>
        <v>0</v>
      </c>
      <c r="R48" s="122">
        <f t="shared" si="6"/>
        <v>0</v>
      </c>
      <c r="S48" s="122">
        <f t="shared" si="7"/>
        <v>0</v>
      </c>
      <c r="T48" s="122">
        <f t="shared" si="8"/>
        <v>0</v>
      </c>
      <c r="U48" s="122">
        <f t="shared" si="9"/>
        <v>0</v>
      </c>
      <c r="V48" s="30">
        <f t="shared" si="10"/>
        <v>0</v>
      </c>
      <c r="W48" s="30">
        <f t="shared" si="11"/>
        <v>0</v>
      </c>
      <c r="X48" s="30">
        <f t="shared" si="13"/>
        <v>0</v>
      </c>
      <c r="Y48" s="30">
        <f t="shared" si="13"/>
        <v>0</v>
      </c>
      <c r="Z48" s="2"/>
      <c r="AA48" s="3"/>
    </row>
    <row r="49" spans="1:27" ht="54.95" customHeight="1">
      <c r="A49" s="209">
        <v>46</v>
      </c>
      <c r="B49" s="258" t="s">
        <v>1372</v>
      </c>
      <c r="C49" s="211">
        <v>1.8</v>
      </c>
      <c r="D49" s="212">
        <v>0</v>
      </c>
      <c r="E49" s="212">
        <v>1</v>
      </c>
      <c r="F49" s="212">
        <v>0</v>
      </c>
      <c r="G49" s="212">
        <v>0</v>
      </c>
      <c r="H49" s="212">
        <v>4</v>
      </c>
      <c r="I49" s="212">
        <v>3</v>
      </c>
      <c r="J49" s="213">
        <v>0</v>
      </c>
      <c r="K49" s="213">
        <v>0</v>
      </c>
      <c r="L49" s="297">
        <f t="shared" si="0"/>
        <v>0</v>
      </c>
      <c r="M49" s="298">
        <f t="shared" si="1"/>
        <v>0</v>
      </c>
      <c r="N49" s="122">
        <f t="shared" si="2"/>
        <v>0</v>
      </c>
      <c r="O49" s="122">
        <f t="shared" si="3"/>
        <v>0</v>
      </c>
      <c r="P49" s="122">
        <f t="shared" si="4"/>
        <v>0</v>
      </c>
      <c r="Q49" s="122">
        <f t="shared" si="5"/>
        <v>0</v>
      </c>
      <c r="R49" s="122">
        <f t="shared" si="6"/>
        <v>0</v>
      </c>
      <c r="S49" s="122">
        <f t="shared" si="7"/>
        <v>0</v>
      </c>
      <c r="T49" s="122">
        <f t="shared" si="8"/>
        <v>0</v>
      </c>
      <c r="U49" s="122">
        <f t="shared" si="9"/>
        <v>0</v>
      </c>
      <c r="V49" s="30">
        <f t="shared" si="10"/>
        <v>0</v>
      </c>
      <c r="W49" s="30">
        <f t="shared" si="11"/>
        <v>0</v>
      </c>
      <c r="X49" s="30">
        <f t="shared" si="13"/>
        <v>0</v>
      </c>
      <c r="Y49" s="30">
        <f t="shared" si="13"/>
        <v>0</v>
      </c>
      <c r="Z49" s="2"/>
      <c r="AA49" s="3"/>
    </row>
    <row r="50" spans="1:27" ht="54.95" customHeight="1">
      <c r="A50" s="209">
        <v>47</v>
      </c>
      <c r="B50" s="258" t="s">
        <v>1371</v>
      </c>
      <c r="C50" s="211">
        <v>2</v>
      </c>
      <c r="D50" s="212">
        <v>0</v>
      </c>
      <c r="E50" s="212">
        <v>1</v>
      </c>
      <c r="F50" s="212">
        <v>0</v>
      </c>
      <c r="G50" s="212">
        <v>1</v>
      </c>
      <c r="H50" s="212">
        <v>4</v>
      </c>
      <c r="I50" s="212">
        <v>3</v>
      </c>
      <c r="J50" s="213">
        <v>0</v>
      </c>
      <c r="K50" s="213">
        <v>0</v>
      </c>
      <c r="L50" s="297">
        <f t="shared" si="0"/>
        <v>0</v>
      </c>
      <c r="M50" s="298">
        <f t="shared" si="1"/>
        <v>0</v>
      </c>
      <c r="N50" s="122">
        <f t="shared" si="2"/>
        <v>0</v>
      </c>
      <c r="O50" s="122">
        <f t="shared" si="3"/>
        <v>0</v>
      </c>
      <c r="P50" s="122">
        <f t="shared" si="4"/>
        <v>0</v>
      </c>
      <c r="Q50" s="122">
        <f t="shared" si="5"/>
        <v>0</v>
      </c>
      <c r="R50" s="122">
        <f t="shared" si="6"/>
        <v>0</v>
      </c>
      <c r="S50" s="122">
        <f t="shared" si="7"/>
        <v>0</v>
      </c>
      <c r="T50" s="122">
        <f t="shared" si="8"/>
        <v>0</v>
      </c>
      <c r="U50" s="122">
        <f t="shared" si="9"/>
        <v>0</v>
      </c>
      <c r="V50" s="30">
        <f t="shared" si="10"/>
        <v>0</v>
      </c>
      <c r="W50" s="30">
        <f t="shared" si="11"/>
        <v>0</v>
      </c>
      <c r="X50" s="30">
        <f t="shared" si="13"/>
        <v>0</v>
      </c>
      <c r="Y50" s="30">
        <f t="shared" si="13"/>
        <v>0</v>
      </c>
      <c r="Z50" s="2"/>
      <c r="AA50" s="3"/>
    </row>
    <row r="51" spans="1:27" ht="54.95" customHeight="1">
      <c r="A51" s="209">
        <v>48</v>
      </c>
      <c r="B51" s="258" t="s">
        <v>1370</v>
      </c>
      <c r="C51" s="211">
        <v>1.5</v>
      </c>
      <c r="D51" s="212">
        <v>0</v>
      </c>
      <c r="E51" s="212">
        <v>1</v>
      </c>
      <c r="F51" s="212">
        <v>0</v>
      </c>
      <c r="G51" s="212">
        <v>0</v>
      </c>
      <c r="H51" s="212">
        <v>3</v>
      </c>
      <c r="I51" s="212">
        <v>3</v>
      </c>
      <c r="J51" s="213">
        <v>0</v>
      </c>
      <c r="K51" s="213">
        <v>0</v>
      </c>
      <c r="L51" s="297">
        <f t="shared" si="0"/>
        <v>0</v>
      </c>
      <c r="M51" s="298">
        <f t="shared" si="1"/>
        <v>0</v>
      </c>
      <c r="N51" s="122">
        <f t="shared" si="2"/>
        <v>0</v>
      </c>
      <c r="O51" s="122">
        <f t="shared" si="3"/>
        <v>0</v>
      </c>
      <c r="P51" s="122">
        <f t="shared" si="4"/>
        <v>0</v>
      </c>
      <c r="Q51" s="122">
        <f t="shared" si="5"/>
        <v>0</v>
      </c>
      <c r="R51" s="122">
        <f t="shared" si="6"/>
        <v>0</v>
      </c>
      <c r="S51" s="122">
        <f t="shared" si="7"/>
        <v>0</v>
      </c>
      <c r="T51" s="122">
        <f t="shared" si="8"/>
        <v>0</v>
      </c>
      <c r="U51" s="122">
        <f t="shared" si="9"/>
        <v>0</v>
      </c>
      <c r="V51" s="30">
        <f t="shared" si="10"/>
        <v>0</v>
      </c>
      <c r="W51" s="30">
        <f t="shared" si="11"/>
        <v>0</v>
      </c>
      <c r="X51" s="30">
        <f t="shared" si="13"/>
        <v>0</v>
      </c>
      <c r="Y51" s="30">
        <f t="shared" si="13"/>
        <v>0</v>
      </c>
      <c r="Z51" s="2"/>
      <c r="AA51" s="3"/>
    </row>
    <row r="52" spans="1:27" ht="54.95" customHeight="1">
      <c r="A52" s="209">
        <v>49</v>
      </c>
      <c r="B52" s="258" t="s">
        <v>1369</v>
      </c>
      <c r="C52" s="211">
        <v>2</v>
      </c>
      <c r="D52" s="212">
        <v>0</v>
      </c>
      <c r="E52" s="212">
        <v>1</v>
      </c>
      <c r="F52" s="212">
        <v>0</v>
      </c>
      <c r="G52" s="212">
        <v>0</v>
      </c>
      <c r="H52" s="212">
        <v>4</v>
      </c>
      <c r="I52" s="212">
        <v>3</v>
      </c>
      <c r="J52" s="213">
        <v>0</v>
      </c>
      <c r="K52" s="213">
        <v>0</v>
      </c>
      <c r="L52" s="297">
        <f t="shared" si="0"/>
        <v>0</v>
      </c>
      <c r="M52" s="298">
        <f t="shared" si="1"/>
        <v>0</v>
      </c>
      <c r="N52" s="122">
        <f t="shared" si="2"/>
        <v>0</v>
      </c>
      <c r="O52" s="122">
        <f t="shared" si="3"/>
        <v>0</v>
      </c>
      <c r="P52" s="122">
        <f t="shared" si="4"/>
        <v>0</v>
      </c>
      <c r="Q52" s="122">
        <f t="shared" si="5"/>
        <v>0</v>
      </c>
      <c r="R52" s="122">
        <f t="shared" si="6"/>
        <v>0</v>
      </c>
      <c r="S52" s="122">
        <f t="shared" si="7"/>
        <v>0</v>
      </c>
      <c r="T52" s="122">
        <f t="shared" si="8"/>
        <v>0</v>
      </c>
      <c r="U52" s="122">
        <f t="shared" si="9"/>
        <v>0</v>
      </c>
      <c r="V52" s="30">
        <f t="shared" si="10"/>
        <v>0</v>
      </c>
      <c r="W52" s="30">
        <f t="shared" si="11"/>
        <v>0</v>
      </c>
      <c r="X52" s="30">
        <f t="shared" si="13"/>
        <v>0</v>
      </c>
      <c r="Y52" s="30">
        <f t="shared" si="13"/>
        <v>0</v>
      </c>
      <c r="Z52" s="2"/>
      <c r="AA52" s="3"/>
    </row>
    <row r="53" spans="1:27" ht="54.95" customHeight="1">
      <c r="A53" s="209">
        <v>50</v>
      </c>
      <c r="B53" s="258" t="s">
        <v>1373</v>
      </c>
      <c r="C53" s="211">
        <v>2</v>
      </c>
      <c r="D53" s="212">
        <v>0</v>
      </c>
      <c r="E53" s="212">
        <v>1</v>
      </c>
      <c r="F53" s="212">
        <v>0</v>
      </c>
      <c r="G53" s="212">
        <v>1</v>
      </c>
      <c r="H53" s="212">
        <v>5</v>
      </c>
      <c r="I53" s="212">
        <v>4</v>
      </c>
      <c r="J53" s="213">
        <v>0</v>
      </c>
      <c r="K53" s="213">
        <v>0</v>
      </c>
      <c r="L53" s="297">
        <f t="shared" si="0"/>
        <v>0</v>
      </c>
      <c r="M53" s="298">
        <f t="shared" si="1"/>
        <v>0</v>
      </c>
      <c r="N53" s="122">
        <f t="shared" si="2"/>
        <v>0</v>
      </c>
      <c r="O53" s="122">
        <f t="shared" si="3"/>
        <v>0</v>
      </c>
      <c r="P53" s="122">
        <f t="shared" si="4"/>
        <v>0</v>
      </c>
      <c r="Q53" s="122">
        <f t="shared" si="5"/>
        <v>0</v>
      </c>
      <c r="R53" s="122">
        <f t="shared" si="6"/>
        <v>0</v>
      </c>
      <c r="S53" s="122">
        <f t="shared" si="7"/>
        <v>0</v>
      </c>
      <c r="T53" s="122">
        <f t="shared" si="8"/>
        <v>0</v>
      </c>
      <c r="U53" s="122">
        <f t="shared" si="9"/>
        <v>0</v>
      </c>
      <c r="V53" s="30">
        <f t="shared" si="10"/>
        <v>0</v>
      </c>
      <c r="W53" s="30">
        <f t="shared" si="11"/>
        <v>0</v>
      </c>
      <c r="X53" s="30">
        <f t="shared" si="13"/>
        <v>0</v>
      </c>
      <c r="Y53" s="30">
        <f t="shared" si="13"/>
        <v>0</v>
      </c>
      <c r="Z53" s="2"/>
      <c r="AA53" s="3"/>
    </row>
    <row r="54" spans="1:27" ht="54.95" customHeight="1">
      <c r="A54" s="209">
        <v>51</v>
      </c>
      <c r="B54" s="258" t="s">
        <v>1382</v>
      </c>
      <c r="C54" s="211">
        <v>2</v>
      </c>
      <c r="D54" s="212">
        <v>0</v>
      </c>
      <c r="E54" s="212">
        <v>1</v>
      </c>
      <c r="F54" s="212">
        <v>0</v>
      </c>
      <c r="G54" s="212">
        <v>0</v>
      </c>
      <c r="H54" s="212">
        <v>4</v>
      </c>
      <c r="I54" s="212">
        <v>3</v>
      </c>
      <c r="J54" s="213">
        <v>0</v>
      </c>
      <c r="K54" s="213">
        <v>0</v>
      </c>
      <c r="L54" s="297">
        <f t="shared" si="0"/>
        <v>0</v>
      </c>
      <c r="M54" s="298">
        <f t="shared" si="1"/>
        <v>0</v>
      </c>
      <c r="N54" s="122">
        <f t="shared" si="2"/>
        <v>0</v>
      </c>
      <c r="O54" s="122">
        <f t="shared" si="3"/>
        <v>0</v>
      </c>
      <c r="P54" s="122">
        <f t="shared" si="4"/>
        <v>0</v>
      </c>
      <c r="Q54" s="122">
        <f t="shared" si="5"/>
        <v>0</v>
      </c>
      <c r="R54" s="122">
        <f t="shared" si="6"/>
        <v>0</v>
      </c>
      <c r="S54" s="122">
        <f t="shared" si="7"/>
        <v>0</v>
      </c>
      <c r="T54" s="122">
        <f t="shared" si="8"/>
        <v>0</v>
      </c>
      <c r="U54" s="122">
        <f t="shared" si="9"/>
        <v>0</v>
      </c>
      <c r="V54" s="30">
        <f t="shared" si="10"/>
        <v>0</v>
      </c>
      <c r="W54" s="30">
        <f t="shared" si="11"/>
        <v>0</v>
      </c>
      <c r="X54" s="30">
        <f t="shared" si="13"/>
        <v>0</v>
      </c>
      <c r="Y54" s="30">
        <f t="shared" si="13"/>
        <v>0</v>
      </c>
      <c r="Z54" s="2"/>
      <c r="AA54" s="3"/>
    </row>
    <row r="55" spans="1:27" ht="54.95" customHeight="1">
      <c r="A55" s="209">
        <v>52</v>
      </c>
      <c r="B55" s="258" t="s">
        <v>1374</v>
      </c>
      <c r="C55" s="211">
        <v>2.5</v>
      </c>
      <c r="D55" s="212">
        <v>0</v>
      </c>
      <c r="E55" s="212">
        <v>1</v>
      </c>
      <c r="F55" s="212">
        <v>0</v>
      </c>
      <c r="G55" s="212">
        <v>0</v>
      </c>
      <c r="H55" s="212">
        <v>5</v>
      </c>
      <c r="I55" s="212">
        <v>3</v>
      </c>
      <c r="J55" s="213">
        <v>0</v>
      </c>
      <c r="K55" s="213">
        <v>0</v>
      </c>
      <c r="L55" s="297">
        <f t="shared" si="0"/>
        <v>0</v>
      </c>
      <c r="M55" s="298">
        <f t="shared" si="1"/>
        <v>0</v>
      </c>
      <c r="N55" s="122">
        <f t="shared" si="2"/>
        <v>0</v>
      </c>
      <c r="O55" s="122">
        <f t="shared" si="3"/>
        <v>0</v>
      </c>
      <c r="P55" s="122">
        <f t="shared" si="4"/>
        <v>0</v>
      </c>
      <c r="Q55" s="122">
        <f t="shared" si="5"/>
        <v>0</v>
      </c>
      <c r="R55" s="122">
        <f t="shared" si="6"/>
        <v>0</v>
      </c>
      <c r="S55" s="122">
        <f t="shared" si="7"/>
        <v>0</v>
      </c>
      <c r="T55" s="122">
        <f t="shared" si="8"/>
        <v>0</v>
      </c>
      <c r="U55" s="122">
        <f t="shared" si="9"/>
        <v>0</v>
      </c>
      <c r="V55" s="30">
        <f t="shared" si="10"/>
        <v>0</v>
      </c>
      <c r="W55" s="30">
        <f t="shared" si="11"/>
        <v>0</v>
      </c>
      <c r="X55" s="30">
        <f t="shared" si="13"/>
        <v>0</v>
      </c>
      <c r="Y55" s="30">
        <f t="shared" si="13"/>
        <v>0</v>
      </c>
      <c r="Z55" s="2"/>
      <c r="AA55" s="3"/>
    </row>
    <row r="56" spans="1:27" ht="54.95" customHeight="1">
      <c r="A56" s="209">
        <v>53</v>
      </c>
      <c r="B56" s="258" t="s">
        <v>1375</v>
      </c>
      <c r="C56" s="211">
        <v>2.5</v>
      </c>
      <c r="D56" s="212">
        <v>0</v>
      </c>
      <c r="E56" s="212">
        <v>1</v>
      </c>
      <c r="F56" s="212">
        <v>0</v>
      </c>
      <c r="G56" s="212">
        <v>1</v>
      </c>
      <c r="H56" s="212">
        <v>5</v>
      </c>
      <c r="I56" s="212">
        <v>3</v>
      </c>
      <c r="J56" s="213">
        <v>0</v>
      </c>
      <c r="K56" s="213">
        <v>0</v>
      </c>
      <c r="L56" s="297">
        <f t="shared" si="0"/>
        <v>0</v>
      </c>
      <c r="M56" s="298">
        <f t="shared" si="1"/>
        <v>0</v>
      </c>
      <c r="N56" s="122">
        <f t="shared" si="2"/>
        <v>0</v>
      </c>
      <c r="O56" s="122">
        <f t="shared" si="3"/>
        <v>0</v>
      </c>
      <c r="P56" s="122">
        <f t="shared" si="4"/>
        <v>0</v>
      </c>
      <c r="Q56" s="122">
        <f t="shared" si="5"/>
        <v>0</v>
      </c>
      <c r="R56" s="122">
        <f t="shared" si="6"/>
        <v>0</v>
      </c>
      <c r="S56" s="122">
        <f t="shared" si="7"/>
        <v>0</v>
      </c>
      <c r="T56" s="122">
        <f t="shared" si="8"/>
        <v>0</v>
      </c>
      <c r="U56" s="122">
        <f t="shared" si="9"/>
        <v>0</v>
      </c>
      <c r="V56" s="30">
        <f t="shared" si="10"/>
        <v>0</v>
      </c>
      <c r="W56" s="30">
        <f t="shared" si="11"/>
        <v>0</v>
      </c>
      <c r="X56" s="30">
        <f t="shared" si="13"/>
        <v>0</v>
      </c>
      <c r="Y56" s="30">
        <f t="shared" si="13"/>
        <v>0</v>
      </c>
      <c r="Z56" s="2"/>
      <c r="AA56" s="3"/>
    </row>
    <row r="57" spans="1:27" ht="54.95" customHeight="1">
      <c r="A57" s="209">
        <v>54</v>
      </c>
      <c r="B57" s="258" t="s">
        <v>432</v>
      </c>
      <c r="C57" s="211">
        <v>3</v>
      </c>
      <c r="D57" s="212">
        <v>0</v>
      </c>
      <c r="E57" s="212">
        <v>1</v>
      </c>
      <c r="F57" s="212">
        <v>0</v>
      </c>
      <c r="G57" s="212">
        <v>1</v>
      </c>
      <c r="H57" s="212">
        <v>4</v>
      </c>
      <c r="I57" s="212">
        <v>3</v>
      </c>
      <c r="J57" s="213">
        <v>0</v>
      </c>
      <c r="K57" s="213">
        <v>0</v>
      </c>
      <c r="L57" s="297">
        <f t="shared" si="0"/>
        <v>0</v>
      </c>
      <c r="M57" s="298">
        <f t="shared" si="1"/>
        <v>0</v>
      </c>
      <c r="N57" s="122">
        <f t="shared" si="2"/>
        <v>0</v>
      </c>
      <c r="O57" s="122">
        <f t="shared" si="3"/>
        <v>0</v>
      </c>
      <c r="P57" s="122">
        <f t="shared" si="4"/>
        <v>0</v>
      </c>
      <c r="Q57" s="122">
        <f t="shared" si="5"/>
        <v>0</v>
      </c>
      <c r="R57" s="122">
        <f t="shared" si="6"/>
        <v>0</v>
      </c>
      <c r="S57" s="122">
        <f t="shared" si="7"/>
        <v>0</v>
      </c>
      <c r="T57" s="122">
        <f t="shared" si="8"/>
        <v>0</v>
      </c>
      <c r="U57" s="122">
        <f t="shared" si="9"/>
        <v>0</v>
      </c>
      <c r="V57" s="30">
        <f t="shared" si="10"/>
        <v>0</v>
      </c>
      <c r="W57" s="30">
        <f t="shared" si="11"/>
        <v>0</v>
      </c>
      <c r="X57" s="30">
        <f t="shared" si="13"/>
        <v>0</v>
      </c>
      <c r="Y57" s="30">
        <f t="shared" si="13"/>
        <v>0</v>
      </c>
      <c r="Z57" s="2"/>
      <c r="AA57" s="3"/>
    </row>
    <row r="58" spans="1:27" ht="54.95" customHeight="1">
      <c r="A58" s="209">
        <v>55</v>
      </c>
      <c r="B58" s="258" t="s">
        <v>1376</v>
      </c>
      <c r="C58" s="211">
        <v>2</v>
      </c>
      <c r="D58" s="212">
        <v>0</v>
      </c>
      <c r="E58" s="212">
        <v>1</v>
      </c>
      <c r="F58" s="212">
        <v>0</v>
      </c>
      <c r="G58" s="212">
        <v>0</v>
      </c>
      <c r="H58" s="212">
        <v>4</v>
      </c>
      <c r="I58" s="212">
        <v>3</v>
      </c>
      <c r="J58" s="213">
        <v>0</v>
      </c>
      <c r="K58" s="213">
        <v>0</v>
      </c>
      <c r="L58" s="297">
        <f t="shared" si="0"/>
        <v>0</v>
      </c>
      <c r="M58" s="298">
        <f t="shared" si="1"/>
        <v>0</v>
      </c>
      <c r="N58" s="122">
        <f t="shared" si="2"/>
        <v>0</v>
      </c>
      <c r="O58" s="122">
        <f t="shared" si="3"/>
        <v>0</v>
      </c>
      <c r="P58" s="122">
        <f t="shared" si="4"/>
        <v>0</v>
      </c>
      <c r="Q58" s="122">
        <f t="shared" si="5"/>
        <v>0</v>
      </c>
      <c r="R58" s="122">
        <f t="shared" si="6"/>
        <v>0</v>
      </c>
      <c r="S58" s="122">
        <f t="shared" si="7"/>
        <v>0</v>
      </c>
      <c r="T58" s="122">
        <f t="shared" si="8"/>
        <v>0</v>
      </c>
      <c r="U58" s="122">
        <f t="shared" si="9"/>
        <v>0</v>
      </c>
      <c r="V58" s="30">
        <f t="shared" si="10"/>
        <v>0</v>
      </c>
      <c r="W58" s="30">
        <f t="shared" si="11"/>
        <v>0</v>
      </c>
      <c r="X58" s="30">
        <f t="shared" si="13"/>
        <v>0</v>
      </c>
      <c r="Y58" s="30">
        <f t="shared" si="13"/>
        <v>0</v>
      </c>
      <c r="Z58" s="2"/>
      <c r="AA58" s="3"/>
    </row>
    <row r="59" spans="1:27" ht="54.95" customHeight="1">
      <c r="A59" s="209">
        <v>56</v>
      </c>
      <c r="B59" s="258" t="s">
        <v>1377</v>
      </c>
      <c r="C59" s="211">
        <v>2.5</v>
      </c>
      <c r="D59" s="212">
        <v>0</v>
      </c>
      <c r="E59" s="212">
        <v>1</v>
      </c>
      <c r="F59" s="212">
        <v>0</v>
      </c>
      <c r="G59" s="212">
        <v>0</v>
      </c>
      <c r="H59" s="212">
        <v>5</v>
      </c>
      <c r="I59" s="212">
        <v>3</v>
      </c>
      <c r="J59" s="213">
        <v>0</v>
      </c>
      <c r="K59" s="213">
        <v>0</v>
      </c>
      <c r="L59" s="297">
        <f t="shared" si="0"/>
        <v>0</v>
      </c>
      <c r="M59" s="298">
        <f t="shared" si="1"/>
        <v>0</v>
      </c>
      <c r="N59" s="122">
        <f t="shared" si="2"/>
        <v>0</v>
      </c>
      <c r="O59" s="122">
        <f t="shared" si="3"/>
        <v>0</v>
      </c>
      <c r="P59" s="122">
        <f t="shared" si="4"/>
        <v>0</v>
      </c>
      <c r="Q59" s="122">
        <f t="shared" si="5"/>
        <v>0</v>
      </c>
      <c r="R59" s="122">
        <f t="shared" si="6"/>
        <v>0</v>
      </c>
      <c r="S59" s="122">
        <f t="shared" si="7"/>
        <v>0</v>
      </c>
      <c r="T59" s="122">
        <f t="shared" si="8"/>
        <v>0</v>
      </c>
      <c r="U59" s="122">
        <f t="shared" si="9"/>
        <v>0</v>
      </c>
      <c r="V59" s="30">
        <f t="shared" si="10"/>
        <v>0</v>
      </c>
      <c r="W59" s="30">
        <f t="shared" si="11"/>
        <v>0</v>
      </c>
      <c r="X59" s="30">
        <f t="shared" si="13"/>
        <v>0</v>
      </c>
      <c r="Y59" s="30">
        <f t="shared" si="13"/>
        <v>0</v>
      </c>
      <c r="Z59" s="2"/>
      <c r="AA59" s="3"/>
    </row>
    <row r="60" spans="1:27" ht="54.95" customHeight="1">
      <c r="A60" s="209">
        <v>57</v>
      </c>
      <c r="B60" s="258" t="s">
        <v>1378</v>
      </c>
      <c r="C60" s="211">
        <v>3</v>
      </c>
      <c r="D60" s="212">
        <v>0</v>
      </c>
      <c r="E60" s="212">
        <v>1</v>
      </c>
      <c r="F60" s="212">
        <v>1</v>
      </c>
      <c r="G60" s="212">
        <v>0</v>
      </c>
      <c r="H60" s="212">
        <v>5</v>
      </c>
      <c r="I60" s="212">
        <v>3</v>
      </c>
      <c r="J60" s="213">
        <v>0</v>
      </c>
      <c r="K60" s="213">
        <v>0</v>
      </c>
      <c r="L60" s="297">
        <f t="shared" si="0"/>
        <v>0</v>
      </c>
      <c r="M60" s="298">
        <f t="shared" si="1"/>
        <v>0</v>
      </c>
      <c r="N60" s="122">
        <f t="shared" si="2"/>
        <v>0</v>
      </c>
      <c r="O60" s="122">
        <f t="shared" si="3"/>
        <v>0</v>
      </c>
      <c r="P60" s="122">
        <f t="shared" si="4"/>
        <v>0</v>
      </c>
      <c r="Q60" s="122">
        <f t="shared" si="5"/>
        <v>0</v>
      </c>
      <c r="R60" s="122">
        <f t="shared" si="6"/>
        <v>0</v>
      </c>
      <c r="S60" s="122">
        <f t="shared" si="7"/>
        <v>0</v>
      </c>
      <c r="T60" s="122">
        <f t="shared" si="8"/>
        <v>0</v>
      </c>
      <c r="U60" s="122">
        <f t="shared" si="9"/>
        <v>0</v>
      </c>
      <c r="V60" s="30">
        <f t="shared" si="10"/>
        <v>0</v>
      </c>
      <c r="W60" s="30">
        <f t="shared" si="11"/>
        <v>0</v>
      </c>
      <c r="X60" s="30">
        <f t="shared" si="13"/>
        <v>0</v>
      </c>
      <c r="Y60" s="30">
        <f t="shared" si="13"/>
        <v>0</v>
      </c>
      <c r="Z60" s="2"/>
      <c r="AA60" s="3"/>
    </row>
    <row r="61" spans="1:27" ht="54.95" customHeight="1">
      <c r="A61" s="209">
        <v>58</v>
      </c>
      <c r="B61" s="258" t="s">
        <v>1379</v>
      </c>
      <c r="C61" s="211">
        <v>2</v>
      </c>
      <c r="D61" s="212">
        <v>0</v>
      </c>
      <c r="E61" s="212">
        <v>1</v>
      </c>
      <c r="F61" s="212">
        <v>0</v>
      </c>
      <c r="G61" s="212">
        <v>0</v>
      </c>
      <c r="H61" s="212">
        <v>4</v>
      </c>
      <c r="I61" s="212">
        <v>3</v>
      </c>
      <c r="J61" s="213">
        <v>0</v>
      </c>
      <c r="K61" s="213">
        <v>0</v>
      </c>
      <c r="L61" s="297">
        <f t="shared" si="0"/>
        <v>0</v>
      </c>
      <c r="M61" s="298">
        <f t="shared" si="1"/>
        <v>0</v>
      </c>
      <c r="N61" s="122">
        <f t="shared" si="2"/>
        <v>0</v>
      </c>
      <c r="O61" s="122">
        <f t="shared" si="3"/>
        <v>0</v>
      </c>
      <c r="P61" s="122">
        <f t="shared" si="4"/>
        <v>0</v>
      </c>
      <c r="Q61" s="122">
        <f t="shared" si="5"/>
        <v>0</v>
      </c>
      <c r="R61" s="122">
        <f t="shared" si="6"/>
        <v>0</v>
      </c>
      <c r="S61" s="122">
        <f t="shared" si="7"/>
        <v>0</v>
      </c>
      <c r="T61" s="122">
        <f t="shared" si="8"/>
        <v>0</v>
      </c>
      <c r="U61" s="122">
        <f t="shared" si="9"/>
        <v>0</v>
      </c>
      <c r="V61" s="30">
        <f t="shared" si="10"/>
        <v>0</v>
      </c>
      <c r="W61" s="30">
        <f t="shared" si="11"/>
        <v>0</v>
      </c>
      <c r="X61" s="30">
        <f t="shared" si="13"/>
        <v>0</v>
      </c>
      <c r="Y61" s="30">
        <f t="shared" si="13"/>
        <v>0</v>
      </c>
      <c r="Z61" s="2"/>
      <c r="AA61" s="3"/>
    </row>
    <row r="62" spans="1:27" s="131" customFormat="1" ht="54.95" customHeight="1">
      <c r="A62" s="209">
        <v>59</v>
      </c>
      <c r="B62" s="258" t="s">
        <v>433</v>
      </c>
      <c r="C62" s="211">
        <v>1.8</v>
      </c>
      <c r="D62" s="212">
        <v>0</v>
      </c>
      <c r="E62" s="212">
        <v>0</v>
      </c>
      <c r="F62" s="212">
        <v>1</v>
      </c>
      <c r="G62" s="212">
        <v>0</v>
      </c>
      <c r="H62" s="212">
        <v>1</v>
      </c>
      <c r="I62" s="212">
        <v>1</v>
      </c>
      <c r="J62" s="213">
        <v>0</v>
      </c>
      <c r="K62" s="213">
        <v>0</v>
      </c>
      <c r="L62" s="297">
        <f t="shared" si="0"/>
        <v>0</v>
      </c>
      <c r="M62" s="298">
        <f t="shared" si="1"/>
        <v>0</v>
      </c>
      <c r="N62" s="122">
        <f t="shared" si="2"/>
        <v>0</v>
      </c>
      <c r="O62" s="122">
        <f t="shared" si="3"/>
        <v>0</v>
      </c>
      <c r="P62" s="122">
        <f t="shared" si="4"/>
        <v>0</v>
      </c>
      <c r="Q62" s="122">
        <f t="shared" si="5"/>
        <v>0</v>
      </c>
      <c r="R62" s="122">
        <f t="shared" si="6"/>
        <v>0</v>
      </c>
      <c r="S62" s="122">
        <f t="shared" si="7"/>
        <v>0</v>
      </c>
      <c r="T62" s="122">
        <f t="shared" si="8"/>
        <v>0</v>
      </c>
      <c r="U62" s="122">
        <f t="shared" si="9"/>
        <v>0</v>
      </c>
      <c r="V62" s="30">
        <f t="shared" si="10"/>
        <v>0</v>
      </c>
      <c r="W62" s="30">
        <f t="shared" si="11"/>
        <v>0</v>
      </c>
      <c r="X62" s="30">
        <f t="shared" si="13"/>
        <v>0</v>
      </c>
      <c r="Y62" s="30">
        <f t="shared" si="13"/>
        <v>0</v>
      </c>
      <c r="Z62" s="130"/>
    </row>
    <row r="63" spans="1:27" s="131" customFormat="1" ht="54.95" customHeight="1">
      <c r="A63" s="209">
        <v>60</v>
      </c>
      <c r="B63" s="258" t="s">
        <v>434</v>
      </c>
      <c r="C63" s="211">
        <v>2.5</v>
      </c>
      <c r="D63" s="212">
        <v>0</v>
      </c>
      <c r="E63" s="212">
        <v>0</v>
      </c>
      <c r="F63" s="212">
        <v>1</v>
      </c>
      <c r="G63" s="212">
        <v>0</v>
      </c>
      <c r="H63" s="212">
        <v>1</v>
      </c>
      <c r="I63" s="212">
        <v>1</v>
      </c>
      <c r="J63" s="213">
        <v>0</v>
      </c>
      <c r="K63" s="213">
        <v>0</v>
      </c>
      <c r="L63" s="297">
        <f t="shared" si="0"/>
        <v>0</v>
      </c>
      <c r="M63" s="298">
        <f t="shared" si="1"/>
        <v>0</v>
      </c>
      <c r="N63" s="122">
        <f t="shared" si="2"/>
        <v>0</v>
      </c>
      <c r="O63" s="122">
        <f t="shared" si="3"/>
        <v>0</v>
      </c>
      <c r="P63" s="122">
        <f t="shared" si="4"/>
        <v>0</v>
      </c>
      <c r="Q63" s="122">
        <f t="shared" si="5"/>
        <v>0</v>
      </c>
      <c r="R63" s="122">
        <f t="shared" si="6"/>
        <v>0</v>
      </c>
      <c r="S63" s="122">
        <f t="shared" si="7"/>
        <v>0</v>
      </c>
      <c r="T63" s="122">
        <f t="shared" si="8"/>
        <v>0</v>
      </c>
      <c r="U63" s="122">
        <f t="shared" si="9"/>
        <v>0</v>
      </c>
      <c r="V63" s="30">
        <f t="shared" si="10"/>
        <v>0</v>
      </c>
      <c r="W63" s="30">
        <f t="shared" si="11"/>
        <v>0</v>
      </c>
      <c r="X63" s="30">
        <f t="shared" si="13"/>
        <v>0</v>
      </c>
      <c r="Y63" s="30">
        <f t="shared" si="13"/>
        <v>0</v>
      </c>
      <c r="Z63" s="130"/>
    </row>
    <row r="64" spans="1:27" s="131" customFormat="1" ht="54.95" customHeight="1">
      <c r="A64" s="209">
        <v>61</v>
      </c>
      <c r="B64" s="258" t="s">
        <v>435</v>
      </c>
      <c r="C64" s="211">
        <v>1.6</v>
      </c>
      <c r="D64" s="212">
        <v>0</v>
      </c>
      <c r="E64" s="212">
        <v>0</v>
      </c>
      <c r="F64" s="212">
        <v>1</v>
      </c>
      <c r="G64" s="212">
        <v>0</v>
      </c>
      <c r="H64" s="212">
        <v>1</v>
      </c>
      <c r="I64" s="212">
        <v>1</v>
      </c>
      <c r="J64" s="213">
        <v>0</v>
      </c>
      <c r="K64" s="213">
        <v>0</v>
      </c>
      <c r="L64" s="297">
        <f t="shared" si="0"/>
        <v>0</v>
      </c>
      <c r="M64" s="298">
        <f t="shared" si="1"/>
        <v>0</v>
      </c>
      <c r="N64" s="122">
        <f t="shared" si="2"/>
        <v>0</v>
      </c>
      <c r="O64" s="122">
        <f t="shared" si="3"/>
        <v>0</v>
      </c>
      <c r="P64" s="122">
        <f t="shared" si="4"/>
        <v>0</v>
      </c>
      <c r="Q64" s="122">
        <f t="shared" si="5"/>
        <v>0</v>
      </c>
      <c r="R64" s="122">
        <f t="shared" si="6"/>
        <v>0</v>
      </c>
      <c r="S64" s="122">
        <f t="shared" si="7"/>
        <v>0</v>
      </c>
      <c r="T64" s="122">
        <f t="shared" si="8"/>
        <v>0</v>
      </c>
      <c r="U64" s="122">
        <f t="shared" si="9"/>
        <v>0</v>
      </c>
      <c r="V64" s="30">
        <f t="shared" si="10"/>
        <v>0</v>
      </c>
      <c r="W64" s="30">
        <f t="shared" si="11"/>
        <v>0</v>
      </c>
      <c r="X64" s="30">
        <f t="shared" si="13"/>
        <v>0</v>
      </c>
      <c r="Y64" s="30">
        <f t="shared" si="13"/>
        <v>0</v>
      </c>
      <c r="Z64" s="130"/>
    </row>
    <row r="65" spans="1:27" ht="54.95" customHeight="1">
      <c r="A65" s="209">
        <v>62</v>
      </c>
      <c r="B65" s="258" t="s">
        <v>436</v>
      </c>
      <c r="C65" s="211">
        <v>2</v>
      </c>
      <c r="D65" s="212">
        <v>0</v>
      </c>
      <c r="E65" s="212">
        <v>1</v>
      </c>
      <c r="F65" s="212">
        <v>0</v>
      </c>
      <c r="G65" s="212">
        <v>0</v>
      </c>
      <c r="H65" s="212">
        <v>4</v>
      </c>
      <c r="I65" s="212">
        <v>3</v>
      </c>
      <c r="J65" s="213">
        <v>0</v>
      </c>
      <c r="K65" s="213">
        <v>0</v>
      </c>
      <c r="L65" s="297">
        <f t="shared" si="0"/>
        <v>0</v>
      </c>
      <c r="M65" s="298">
        <f t="shared" si="1"/>
        <v>0</v>
      </c>
      <c r="N65" s="122">
        <f t="shared" si="2"/>
        <v>0</v>
      </c>
      <c r="O65" s="122">
        <f t="shared" si="3"/>
        <v>0</v>
      </c>
      <c r="P65" s="122">
        <f t="shared" si="4"/>
        <v>0</v>
      </c>
      <c r="Q65" s="122">
        <f t="shared" si="5"/>
        <v>0</v>
      </c>
      <c r="R65" s="122">
        <f t="shared" si="6"/>
        <v>0</v>
      </c>
      <c r="S65" s="122">
        <f t="shared" si="7"/>
        <v>0</v>
      </c>
      <c r="T65" s="122">
        <f t="shared" si="8"/>
        <v>0</v>
      </c>
      <c r="U65" s="122">
        <f t="shared" si="9"/>
        <v>0</v>
      </c>
      <c r="V65" s="30">
        <f t="shared" si="10"/>
        <v>0</v>
      </c>
      <c r="W65" s="30">
        <f t="shared" si="11"/>
        <v>0</v>
      </c>
      <c r="X65" s="30">
        <f t="shared" si="13"/>
        <v>0</v>
      </c>
      <c r="Y65" s="30">
        <f t="shared" si="13"/>
        <v>0</v>
      </c>
      <c r="Z65" s="2"/>
      <c r="AA65" s="3"/>
    </row>
    <row r="66" spans="1:27" ht="54.95" customHeight="1">
      <c r="A66" s="209">
        <v>63</v>
      </c>
      <c r="B66" s="258" t="s">
        <v>1380</v>
      </c>
      <c r="C66" s="211">
        <v>3</v>
      </c>
      <c r="D66" s="212">
        <v>0</v>
      </c>
      <c r="E66" s="212">
        <v>1</v>
      </c>
      <c r="F66" s="212">
        <v>0</v>
      </c>
      <c r="G66" s="212">
        <v>0</v>
      </c>
      <c r="H66" s="212">
        <v>3</v>
      </c>
      <c r="I66" s="212">
        <v>4</v>
      </c>
      <c r="J66" s="213">
        <v>0</v>
      </c>
      <c r="K66" s="213">
        <v>0</v>
      </c>
      <c r="L66" s="297">
        <f t="shared" si="0"/>
        <v>0</v>
      </c>
      <c r="M66" s="298">
        <f t="shared" si="1"/>
        <v>0</v>
      </c>
      <c r="N66" s="122">
        <f t="shared" si="2"/>
        <v>0</v>
      </c>
      <c r="O66" s="122">
        <f t="shared" si="3"/>
        <v>0</v>
      </c>
      <c r="P66" s="122">
        <f t="shared" si="4"/>
        <v>0</v>
      </c>
      <c r="Q66" s="122">
        <f t="shared" si="5"/>
        <v>0</v>
      </c>
      <c r="R66" s="122">
        <f t="shared" si="6"/>
        <v>0</v>
      </c>
      <c r="S66" s="122">
        <f t="shared" si="7"/>
        <v>0</v>
      </c>
      <c r="T66" s="122">
        <f t="shared" si="8"/>
        <v>0</v>
      </c>
      <c r="U66" s="122">
        <f t="shared" si="9"/>
        <v>0</v>
      </c>
      <c r="V66" s="30">
        <f t="shared" si="10"/>
        <v>0</v>
      </c>
      <c r="W66" s="30">
        <f t="shared" si="11"/>
        <v>0</v>
      </c>
      <c r="X66" s="30">
        <f t="shared" si="13"/>
        <v>0</v>
      </c>
      <c r="Y66" s="30">
        <f t="shared" si="13"/>
        <v>0</v>
      </c>
      <c r="Z66" s="2"/>
      <c r="AA66" s="3"/>
    </row>
    <row r="67" spans="1:27" ht="54.95" customHeight="1">
      <c r="A67" s="209">
        <v>64</v>
      </c>
      <c r="B67" s="258" t="s">
        <v>1381</v>
      </c>
      <c r="C67" s="211">
        <v>2</v>
      </c>
      <c r="D67" s="212">
        <v>0</v>
      </c>
      <c r="E67" s="212">
        <v>1</v>
      </c>
      <c r="F67" s="212">
        <v>0</v>
      </c>
      <c r="G67" s="212">
        <v>0</v>
      </c>
      <c r="H67" s="212">
        <v>3</v>
      </c>
      <c r="I67" s="212">
        <v>4</v>
      </c>
      <c r="J67" s="213">
        <v>0</v>
      </c>
      <c r="K67" s="213">
        <v>0</v>
      </c>
      <c r="L67" s="297">
        <f t="shared" si="0"/>
        <v>0</v>
      </c>
      <c r="M67" s="298">
        <f t="shared" si="1"/>
        <v>0</v>
      </c>
      <c r="N67" s="122">
        <f t="shared" si="2"/>
        <v>0</v>
      </c>
      <c r="O67" s="122">
        <f t="shared" si="3"/>
        <v>0</v>
      </c>
      <c r="P67" s="122">
        <f t="shared" si="4"/>
        <v>0</v>
      </c>
      <c r="Q67" s="122">
        <f t="shared" si="5"/>
        <v>0</v>
      </c>
      <c r="R67" s="122">
        <f t="shared" si="6"/>
        <v>0</v>
      </c>
      <c r="S67" s="122">
        <f t="shared" si="7"/>
        <v>0</v>
      </c>
      <c r="T67" s="122">
        <f t="shared" si="8"/>
        <v>0</v>
      </c>
      <c r="U67" s="122">
        <f t="shared" si="9"/>
        <v>0</v>
      </c>
      <c r="V67" s="30">
        <f t="shared" si="10"/>
        <v>0</v>
      </c>
      <c r="W67" s="30">
        <f t="shared" si="11"/>
        <v>0</v>
      </c>
      <c r="X67" s="30">
        <f t="shared" si="13"/>
        <v>0</v>
      </c>
      <c r="Y67" s="30">
        <f t="shared" si="13"/>
        <v>0</v>
      </c>
      <c r="Z67" s="2"/>
      <c r="AA67" s="3"/>
    </row>
    <row r="68" spans="1:27" ht="54.95" customHeight="1">
      <c r="A68" s="209">
        <v>65</v>
      </c>
      <c r="B68" s="258" t="s">
        <v>437</v>
      </c>
      <c r="C68" s="211">
        <v>0.3</v>
      </c>
      <c r="D68" s="212">
        <v>0</v>
      </c>
      <c r="E68" s="212">
        <v>1</v>
      </c>
      <c r="F68" s="212">
        <v>0</v>
      </c>
      <c r="G68" s="212">
        <v>1</v>
      </c>
      <c r="H68" s="212">
        <v>3</v>
      </c>
      <c r="I68" s="212">
        <v>3</v>
      </c>
      <c r="J68" s="213">
        <v>0</v>
      </c>
      <c r="K68" s="213">
        <v>0</v>
      </c>
      <c r="L68" s="297">
        <f t="shared" ref="L68:L72" si="14">(((J68*C68)/$A$2)*D68)+(((J68*C68)/$A$2)*E68)+(((J68*C68)/$A$2)*F68)+(((J68*C68)/$A$2)*G68)</f>
        <v>0</v>
      </c>
      <c r="M68" s="298">
        <f t="shared" ref="M68:M72" si="15">(((K68*C68)/$A$2)*D68)+(((K68*C68)/$A$2)*E68)+(((K68*C68)/$A$2)*F68)+(((K68*C68)/$A$2)*G68)</f>
        <v>0</v>
      </c>
      <c r="N68" s="122">
        <f t="shared" ref="N68:N72" si="16">J68*D68*C68/$A$2</f>
        <v>0</v>
      </c>
      <c r="O68" s="122">
        <f t="shared" ref="O68:O72" si="17">J68*E68*C68/$A$2</f>
        <v>0</v>
      </c>
      <c r="P68" s="122">
        <f t="shared" ref="P68:P72" si="18">J68*F68*C68/$A$2</f>
        <v>0</v>
      </c>
      <c r="Q68" s="122">
        <f t="shared" ref="Q68:Q72" si="19">J68*G68*C68/$A$2</f>
        <v>0</v>
      </c>
      <c r="R68" s="122">
        <f t="shared" ref="R68:R72" si="20">K68*D68*C68/$A$2</f>
        <v>0</v>
      </c>
      <c r="S68" s="122">
        <f t="shared" ref="S68:S72" si="21">K68*E68*C68/$A$2</f>
        <v>0</v>
      </c>
      <c r="T68" s="122">
        <f t="shared" ref="T68:T72" si="22">K68*F68*C68/$A$2</f>
        <v>0</v>
      </c>
      <c r="U68" s="122">
        <f t="shared" ref="U68:U72" si="23">K68*G68*C68/$A$2</f>
        <v>0</v>
      </c>
      <c r="V68" s="30">
        <f t="shared" ref="V68:V72" si="24">((L68/15)*((I68+H68)-2))</f>
        <v>0</v>
      </c>
      <c r="W68" s="30">
        <f t="shared" ref="W68:W72" si="25">((M68/15)*((I68+H68)-2))</f>
        <v>0</v>
      </c>
      <c r="X68" s="30">
        <f t="shared" si="13"/>
        <v>0</v>
      </c>
      <c r="Y68" s="30">
        <f t="shared" si="13"/>
        <v>0</v>
      </c>
      <c r="Z68" s="2"/>
      <c r="AA68" s="3"/>
    </row>
    <row r="69" spans="1:27" ht="54.95" customHeight="1">
      <c r="A69" s="209">
        <v>66</v>
      </c>
      <c r="B69" s="258" t="s">
        <v>438</v>
      </c>
      <c r="C69" s="211">
        <v>0.2</v>
      </c>
      <c r="D69" s="212">
        <v>0</v>
      </c>
      <c r="E69" s="212">
        <v>1</v>
      </c>
      <c r="F69" s="212">
        <v>0</v>
      </c>
      <c r="G69" s="212">
        <v>0</v>
      </c>
      <c r="H69" s="212">
        <v>3</v>
      </c>
      <c r="I69" s="212">
        <v>3</v>
      </c>
      <c r="J69" s="213">
        <v>0</v>
      </c>
      <c r="K69" s="213">
        <v>0</v>
      </c>
      <c r="L69" s="297">
        <f t="shared" si="14"/>
        <v>0</v>
      </c>
      <c r="M69" s="298">
        <f t="shared" si="15"/>
        <v>0</v>
      </c>
      <c r="N69" s="122">
        <f t="shared" si="16"/>
        <v>0</v>
      </c>
      <c r="O69" s="122">
        <f t="shared" si="17"/>
        <v>0</v>
      </c>
      <c r="P69" s="122">
        <f t="shared" si="18"/>
        <v>0</v>
      </c>
      <c r="Q69" s="122">
        <f t="shared" si="19"/>
        <v>0</v>
      </c>
      <c r="R69" s="122">
        <f t="shared" si="20"/>
        <v>0</v>
      </c>
      <c r="S69" s="122">
        <f t="shared" si="21"/>
        <v>0</v>
      </c>
      <c r="T69" s="122">
        <f t="shared" si="22"/>
        <v>0</v>
      </c>
      <c r="U69" s="122">
        <f t="shared" si="23"/>
        <v>0</v>
      </c>
      <c r="V69" s="30">
        <f t="shared" si="24"/>
        <v>0</v>
      </c>
      <c r="W69" s="30">
        <f t="shared" si="25"/>
        <v>0</v>
      </c>
      <c r="X69" s="30">
        <f t="shared" si="13"/>
        <v>0</v>
      </c>
      <c r="Y69" s="30">
        <f t="shared" si="13"/>
        <v>0</v>
      </c>
      <c r="Z69" s="2"/>
      <c r="AA69" s="3"/>
    </row>
    <row r="70" spans="1:27" ht="54.95" customHeight="1">
      <c r="A70" s="209">
        <v>67</v>
      </c>
      <c r="B70" s="258" t="s">
        <v>439</v>
      </c>
      <c r="C70" s="211">
        <v>1.5</v>
      </c>
      <c r="D70" s="212">
        <v>0</v>
      </c>
      <c r="E70" s="212">
        <v>1</v>
      </c>
      <c r="F70" s="212">
        <v>0</v>
      </c>
      <c r="G70" s="212">
        <v>0</v>
      </c>
      <c r="H70" s="212">
        <v>5</v>
      </c>
      <c r="I70" s="212">
        <v>3</v>
      </c>
      <c r="J70" s="213">
        <v>0</v>
      </c>
      <c r="K70" s="213">
        <v>0</v>
      </c>
      <c r="L70" s="297">
        <f t="shared" si="14"/>
        <v>0</v>
      </c>
      <c r="M70" s="298">
        <f t="shared" si="15"/>
        <v>0</v>
      </c>
      <c r="N70" s="122">
        <f t="shared" si="16"/>
        <v>0</v>
      </c>
      <c r="O70" s="122">
        <f t="shared" si="17"/>
        <v>0</v>
      </c>
      <c r="P70" s="122">
        <f t="shared" si="18"/>
        <v>0</v>
      </c>
      <c r="Q70" s="122">
        <f t="shared" si="19"/>
        <v>0</v>
      </c>
      <c r="R70" s="122">
        <f t="shared" si="20"/>
        <v>0</v>
      </c>
      <c r="S70" s="122">
        <f t="shared" si="21"/>
        <v>0</v>
      </c>
      <c r="T70" s="122">
        <f t="shared" si="22"/>
        <v>0</v>
      </c>
      <c r="U70" s="122">
        <f t="shared" si="23"/>
        <v>0</v>
      </c>
      <c r="V70" s="30">
        <f t="shared" si="24"/>
        <v>0</v>
      </c>
      <c r="W70" s="30">
        <f t="shared" si="25"/>
        <v>0</v>
      </c>
      <c r="X70" s="30">
        <f t="shared" si="13"/>
        <v>0</v>
      </c>
      <c r="Y70" s="30">
        <f t="shared" si="13"/>
        <v>0</v>
      </c>
      <c r="Z70" s="2"/>
      <c r="AA70" s="3"/>
    </row>
    <row r="71" spans="1:27" ht="54.95" customHeight="1">
      <c r="A71" s="209">
        <v>68</v>
      </c>
      <c r="B71" s="258" t="s">
        <v>440</v>
      </c>
      <c r="C71" s="211">
        <v>2</v>
      </c>
      <c r="D71" s="212">
        <v>0</v>
      </c>
      <c r="E71" s="212">
        <v>1</v>
      </c>
      <c r="F71" s="212">
        <v>0</v>
      </c>
      <c r="G71" s="212">
        <v>1</v>
      </c>
      <c r="H71" s="212">
        <v>5</v>
      </c>
      <c r="I71" s="212">
        <v>3</v>
      </c>
      <c r="J71" s="213">
        <v>0</v>
      </c>
      <c r="K71" s="213">
        <v>0</v>
      </c>
      <c r="L71" s="297">
        <f t="shared" si="14"/>
        <v>0</v>
      </c>
      <c r="M71" s="298">
        <f t="shared" si="15"/>
        <v>0</v>
      </c>
      <c r="N71" s="122">
        <f t="shared" si="16"/>
        <v>0</v>
      </c>
      <c r="O71" s="122">
        <f t="shared" si="17"/>
        <v>0</v>
      </c>
      <c r="P71" s="122">
        <f t="shared" si="18"/>
        <v>0</v>
      </c>
      <c r="Q71" s="122">
        <f t="shared" si="19"/>
        <v>0</v>
      </c>
      <c r="R71" s="122">
        <f t="shared" si="20"/>
        <v>0</v>
      </c>
      <c r="S71" s="122">
        <f t="shared" si="21"/>
        <v>0</v>
      </c>
      <c r="T71" s="122">
        <f t="shared" si="22"/>
        <v>0</v>
      </c>
      <c r="U71" s="122">
        <f t="shared" si="23"/>
        <v>0</v>
      </c>
      <c r="V71" s="30">
        <f t="shared" si="24"/>
        <v>0</v>
      </c>
      <c r="W71" s="30">
        <f t="shared" si="25"/>
        <v>0</v>
      </c>
      <c r="X71" s="30">
        <f t="shared" si="13"/>
        <v>0</v>
      </c>
      <c r="Y71" s="30">
        <f t="shared" si="13"/>
        <v>0</v>
      </c>
      <c r="Z71" s="2"/>
      <c r="AA71" s="3"/>
    </row>
    <row r="72" spans="1:27" ht="54.95" customHeight="1">
      <c r="A72" s="209">
        <v>69</v>
      </c>
      <c r="B72" s="258" t="s">
        <v>1383</v>
      </c>
      <c r="C72" s="211">
        <v>0.66</v>
      </c>
      <c r="D72" s="212">
        <v>0</v>
      </c>
      <c r="E72" s="212">
        <v>1</v>
      </c>
      <c r="F72" s="212">
        <v>1</v>
      </c>
      <c r="G72" s="212">
        <v>1</v>
      </c>
      <c r="H72" s="212">
        <v>1</v>
      </c>
      <c r="I72" s="212">
        <v>1</v>
      </c>
      <c r="J72" s="213">
        <v>0</v>
      </c>
      <c r="K72" s="213">
        <v>0</v>
      </c>
      <c r="L72" s="297">
        <f t="shared" si="14"/>
        <v>0</v>
      </c>
      <c r="M72" s="298">
        <f t="shared" si="15"/>
        <v>0</v>
      </c>
      <c r="N72" s="122">
        <f t="shared" si="16"/>
        <v>0</v>
      </c>
      <c r="O72" s="122">
        <f t="shared" si="17"/>
        <v>0</v>
      </c>
      <c r="P72" s="122">
        <f t="shared" si="18"/>
        <v>0</v>
      </c>
      <c r="Q72" s="122">
        <f t="shared" si="19"/>
        <v>0</v>
      </c>
      <c r="R72" s="122">
        <f t="shared" si="20"/>
        <v>0</v>
      </c>
      <c r="S72" s="122">
        <f t="shared" si="21"/>
        <v>0</v>
      </c>
      <c r="T72" s="122">
        <f t="shared" si="22"/>
        <v>0</v>
      </c>
      <c r="U72" s="122">
        <f t="shared" si="23"/>
        <v>0</v>
      </c>
      <c r="V72" s="30">
        <f t="shared" si="24"/>
        <v>0</v>
      </c>
      <c r="W72" s="30">
        <f t="shared" si="25"/>
        <v>0</v>
      </c>
      <c r="X72" s="30">
        <f t="shared" si="13"/>
        <v>0</v>
      </c>
      <c r="Y72" s="30">
        <f t="shared" si="13"/>
        <v>0</v>
      </c>
      <c r="Z72" s="2"/>
      <c r="AA72" s="3"/>
    </row>
    <row r="73" spans="1:27" s="2" customFormat="1" ht="54.95" customHeight="1">
      <c r="A73" s="377" t="s">
        <v>158</v>
      </c>
      <c r="B73" s="377"/>
      <c r="C73" s="378" t="s">
        <v>95</v>
      </c>
      <c r="D73" s="378"/>
      <c r="E73" s="378"/>
      <c r="F73" s="378"/>
      <c r="G73" s="378"/>
      <c r="H73" s="378"/>
      <c r="I73" s="378"/>
      <c r="J73" s="378"/>
      <c r="K73" s="378"/>
      <c r="L73" s="215">
        <f t="shared" ref="L73:Y73" si="26">SUM(L4:L72)</f>
        <v>0</v>
      </c>
      <c r="M73" s="215">
        <f t="shared" si="26"/>
        <v>0</v>
      </c>
      <c r="N73" s="127">
        <f t="shared" si="26"/>
        <v>0</v>
      </c>
      <c r="O73" s="127">
        <f t="shared" si="26"/>
        <v>0</v>
      </c>
      <c r="P73" s="127">
        <f t="shared" si="26"/>
        <v>0</v>
      </c>
      <c r="Q73" s="127">
        <f t="shared" si="26"/>
        <v>0</v>
      </c>
      <c r="R73" s="127">
        <f t="shared" si="26"/>
        <v>0</v>
      </c>
      <c r="S73" s="127">
        <f t="shared" si="26"/>
        <v>0</v>
      </c>
      <c r="T73" s="127">
        <f t="shared" si="26"/>
        <v>0</v>
      </c>
      <c r="U73" s="127">
        <f t="shared" si="26"/>
        <v>0</v>
      </c>
      <c r="V73" s="127">
        <f t="shared" si="26"/>
        <v>0</v>
      </c>
      <c r="W73" s="127">
        <f t="shared" si="26"/>
        <v>0</v>
      </c>
      <c r="X73" s="127">
        <f t="shared" si="26"/>
        <v>0</v>
      </c>
      <c r="Y73" s="127">
        <f t="shared" si="26"/>
        <v>0</v>
      </c>
    </row>
    <row r="74" spans="1:27" s="2" customFormat="1" ht="54.95" customHeight="1">
      <c r="A74" s="379" t="s">
        <v>160</v>
      </c>
      <c r="B74" s="379"/>
      <c r="C74" s="379"/>
      <c r="D74" s="379"/>
      <c r="E74" s="379"/>
      <c r="F74" s="379"/>
      <c r="G74" s="379"/>
      <c r="H74" s="379"/>
      <c r="I74" s="379"/>
      <c r="J74" s="379"/>
      <c r="K74" s="379"/>
      <c r="L74" s="379"/>
      <c r="M74" s="299">
        <v>1.5</v>
      </c>
      <c r="N74" s="29"/>
      <c r="O74" s="29"/>
      <c r="P74" s="29"/>
      <c r="Q74" s="29"/>
      <c r="R74" s="29"/>
      <c r="S74" s="29"/>
      <c r="T74" s="29"/>
      <c r="U74" s="29"/>
      <c r="V74" s="29"/>
      <c r="W74" s="29"/>
      <c r="X74" s="30"/>
      <c r="Y74" s="30"/>
      <c r="Z74" s="124"/>
    </row>
    <row r="75" spans="1:27" s="2" customFormat="1" ht="54.95" customHeight="1">
      <c r="A75" s="3"/>
      <c r="B75" s="3"/>
      <c r="C75" s="125"/>
      <c r="D75" s="126"/>
      <c r="E75" s="126"/>
      <c r="F75" s="126"/>
      <c r="G75" s="126"/>
      <c r="H75" s="126"/>
      <c r="I75" s="126"/>
      <c r="J75" s="3"/>
      <c r="K75" s="3"/>
      <c r="L75" s="3"/>
      <c r="N75" s="29"/>
      <c r="O75" s="29"/>
      <c r="P75" s="29"/>
      <c r="Q75" s="29"/>
      <c r="R75" s="29"/>
      <c r="S75" s="29"/>
      <c r="T75" s="29"/>
      <c r="U75" s="29"/>
      <c r="V75" s="29"/>
      <c r="W75" s="29"/>
      <c r="X75" s="30"/>
      <c r="Y75" s="30"/>
      <c r="Z75" s="121"/>
    </row>
    <row r="76" spans="1:27" s="2" customFormat="1" ht="54.95" customHeight="1">
      <c r="A76" s="3"/>
      <c r="B76" s="3"/>
      <c r="C76" s="125"/>
      <c r="D76" s="126"/>
      <c r="E76" s="126"/>
      <c r="F76" s="126"/>
      <c r="G76" s="126"/>
      <c r="H76" s="126"/>
      <c r="I76" s="126"/>
      <c r="J76" s="3"/>
      <c r="K76" s="3"/>
      <c r="L76" s="3"/>
      <c r="N76" s="29"/>
      <c r="O76" s="29"/>
      <c r="P76" s="29"/>
      <c r="Q76" s="29"/>
      <c r="R76" s="29"/>
      <c r="S76" s="29"/>
      <c r="T76" s="29"/>
      <c r="U76" s="29"/>
      <c r="V76" s="29"/>
      <c r="W76" s="29"/>
      <c r="X76" s="30"/>
      <c r="Y76" s="30"/>
      <c r="Z76" s="121"/>
    </row>
    <row r="77" spans="1:27" s="2" customFormat="1" ht="54.95" customHeight="1">
      <c r="A77" s="3"/>
      <c r="B77" s="3"/>
      <c r="C77" s="125"/>
      <c r="D77" s="126"/>
      <c r="E77" s="126"/>
      <c r="F77" s="126"/>
      <c r="G77" s="126"/>
      <c r="H77" s="126"/>
      <c r="I77" s="126"/>
      <c r="J77" s="3"/>
      <c r="K77" s="3"/>
      <c r="L77" s="3"/>
      <c r="N77" s="29"/>
      <c r="O77" s="29"/>
      <c r="P77" s="29"/>
      <c r="Q77" s="29"/>
      <c r="R77" s="29"/>
      <c r="S77" s="29"/>
      <c r="T77" s="29"/>
      <c r="U77" s="29"/>
      <c r="V77" s="29"/>
      <c r="W77" s="29"/>
      <c r="X77" s="30"/>
      <c r="Y77" s="30"/>
      <c r="Z77" s="121"/>
    </row>
    <row r="78" spans="1:27" s="2" customFormat="1" ht="54.95" customHeight="1">
      <c r="A78" s="3"/>
      <c r="B78" s="3"/>
      <c r="C78" s="125"/>
      <c r="D78" s="126"/>
      <c r="E78" s="126"/>
      <c r="F78" s="126"/>
      <c r="G78" s="126"/>
      <c r="H78" s="126"/>
      <c r="I78" s="126"/>
      <c r="J78" s="3"/>
      <c r="K78" s="3"/>
      <c r="L78" s="3"/>
      <c r="N78" s="29"/>
      <c r="O78" s="29"/>
      <c r="P78" s="29"/>
      <c r="Q78" s="29"/>
      <c r="R78" s="29"/>
      <c r="S78" s="29"/>
      <c r="T78" s="29"/>
      <c r="U78" s="29"/>
      <c r="V78" s="29"/>
      <c r="W78" s="29"/>
      <c r="X78" s="30"/>
      <c r="Y78" s="30"/>
      <c r="Z78" s="121"/>
    </row>
    <row r="79" spans="1:27" s="2" customFormat="1" ht="54.95" customHeight="1">
      <c r="A79" s="3"/>
      <c r="B79" s="3"/>
      <c r="C79" s="125"/>
      <c r="D79" s="126"/>
      <c r="E79" s="126"/>
      <c r="F79" s="126"/>
      <c r="G79" s="126"/>
      <c r="H79" s="126"/>
      <c r="I79" s="126"/>
      <c r="J79" s="3"/>
      <c r="K79" s="3"/>
      <c r="L79" s="3"/>
      <c r="N79" s="29"/>
      <c r="O79" s="29"/>
      <c r="P79" s="29"/>
      <c r="Q79" s="29"/>
      <c r="R79" s="29"/>
      <c r="S79" s="29"/>
      <c r="T79" s="29"/>
      <c r="U79" s="29"/>
      <c r="V79" s="29"/>
      <c r="W79" s="29"/>
      <c r="X79" s="30"/>
      <c r="Y79" s="30"/>
      <c r="Z79" s="121"/>
    </row>
    <row r="80" spans="1:27" s="2" customFormat="1" ht="54.95" customHeight="1">
      <c r="A80" s="3"/>
      <c r="B80" s="3"/>
      <c r="C80" s="125"/>
      <c r="D80" s="126"/>
      <c r="E80" s="126"/>
      <c r="F80" s="126"/>
      <c r="G80" s="126"/>
      <c r="H80" s="126"/>
      <c r="I80" s="126"/>
      <c r="J80" s="3"/>
      <c r="K80" s="3"/>
      <c r="L80" s="3"/>
      <c r="N80" s="29"/>
      <c r="O80" s="29"/>
      <c r="P80" s="29"/>
      <c r="Q80" s="29"/>
      <c r="R80" s="29"/>
      <c r="S80" s="29"/>
      <c r="T80" s="29"/>
      <c r="U80" s="29"/>
      <c r="V80" s="29"/>
      <c r="W80" s="29"/>
      <c r="X80" s="30"/>
      <c r="Y80" s="30"/>
      <c r="Z80" s="121"/>
    </row>
    <row r="81" spans="1:26" s="2" customFormat="1" ht="54.95" customHeight="1">
      <c r="A81" s="3"/>
      <c r="B81" s="3"/>
      <c r="C81" s="125"/>
      <c r="D81" s="126"/>
      <c r="E81" s="126"/>
      <c r="F81" s="126"/>
      <c r="G81" s="126"/>
      <c r="H81" s="126"/>
      <c r="I81" s="126"/>
      <c r="J81" s="3"/>
      <c r="K81" s="3"/>
      <c r="L81" s="3"/>
      <c r="N81" s="29"/>
      <c r="O81" s="29"/>
      <c r="P81" s="29"/>
      <c r="Q81" s="29"/>
      <c r="R81" s="29"/>
      <c r="S81" s="29"/>
      <c r="T81" s="29"/>
      <c r="U81" s="29"/>
      <c r="V81" s="29"/>
      <c r="W81" s="29"/>
      <c r="X81" s="30"/>
      <c r="Y81" s="30"/>
      <c r="Z81" s="121"/>
    </row>
    <row r="82" spans="1:26" s="2" customFormat="1" ht="54.95" customHeight="1">
      <c r="A82" s="3"/>
      <c r="B82" s="3"/>
      <c r="C82" s="125"/>
      <c r="D82" s="126"/>
      <c r="E82" s="126"/>
      <c r="F82" s="126"/>
      <c r="G82" s="126"/>
      <c r="H82" s="126"/>
      <c r="I82" s="126"/>
      <c r="J82" s="3"/>
      <c r="K82" s="3"/>
      <c r="L82" s="3"/>
      <c r="N82" s="29"/>
      <c r="O82" s="29"/>
      <c r="P82" s="29"/>
      <c r="Q82" s="29"/>
      <c r="R82" s="29"/>
      <c r="S82" s="29"/>
      <c r="T82" s="29"/>
      <c r="U82" s="29"/>
      <c r="V82" s="29"/>
      <c r="W82" s="29"/>
      <c r="X82" s="30"/>
      <c r="Y82" s="30"/>
      <c r="Z82" s="121"/>
    </row>
    <row r="83" spans="1:26" s="2" customFormat="1" ht="54.95" customHeight="1">
      <c r="A83" s="3"/>
      <c r="B83" s="3"/>
      <c r="C83" s="125"/>
      <c r="D83" s="126"/>
      <c r="E83" s="126"/>
      <c r="F83" s="126"/>
      <c r="G83" s="126"/>
      <c r="H83" s="126"/>
      <c r="I83" s="126"/>
      <c r="J83" s="3"/>
      <c r="K83" s="3"/>
      <c r="L83" s="3"/>
      <c r="N83" s="29"/>
      <c r="O83" s="29"/>
      <c r="P83" s="29"/>
      <c r="Q83" s="29"/>
      <c r="R83" s="29"/>
      <c r="S83" s="29"/>
      <c r="T83" s="29"/>
      <c r="U83" s="29"/>
      <c r="V83" s="29"/>
      <c r="W83" s="29"/>
      <c r="X83" s="30"/>
      <c r="Y83" s="30"/>
      <c r="Z83" s="121"/>
    </row>
    <row r="84" spans="1:26" s="2" customFormat="1" ht="54.95" customHeight="1">
      <c r="A84" s="3"/>
      <c r="B84" s="3"/>
      <c r="C84" s="125"/>
      <c r="D84" s="126"/>
      <c r="E84" s="126"/>
      <c r="F84" s="126"/>
      <c r="G84" s="126"/>
      <c r="H84" s="126"/>
      <c r="I84" s="126"/>
      <c r="J84" s="3"/>
      <c r="K84" s="3"/>
      <c r="L84" s="3"/>
      <c r="N84" s="29"/>
      <c r="O84" s="29"/>
      <c r="P84" s="29"/>
      <c r="Q84" s="29"/>
      <c r="R84" s="29"/>
      <c r="S84" s="29"/>
      <c r="T84" s="29"/>
      <c r="U84" s="29"/>
      <c r="V84" s="29"/>
      <c r="W84" s="29"/>
      <c r="X84" s="30"/>
      <c r="Y84" s="30"/>
      <c r="Z84" s="121"/>
    </row>
    <row r="85" spans="1:26" s="2" customFormat="1" ht="54.95" customHeight="1">
      <c r="A85" s="3"/>
      <c r="B85" s="3"/>
      <c r="C85" s="125"/>
      <c r="D85" s="126"/>
      <c r="E85" s="126"/>
      <c r="F85" s="126"/>
      <c r="G85" s="126"/>
      <c r="H85" s="126"/>
      <c r="I85" s="126"/>
      <c r="J85" s="3"/>
      <c r="K85" s="3"/>
      <c r="L85" s="3"/>
      <c r="N85" s="29"/>
      <c r="O85" s="29"/>
      <c r="P85" s="29"/>
      <c r="Q85" s="29"/>
      <c r="R85" s="29"/>
      <c r="S85" s="29"/>
      <c r="T85" s="29"/>
      <c r="U85" s="29"/>
      <c r="V85" s="29"/>
      <c r="W85" s="29"/>
      <c r="X85" s="30"/>
      <c r="Y85" s="30"/>
      <c r="Z85" s="121"/>
    </row>
    <row r="86" spans="1:26" s="2" customFormat="1" ht="54.95" customHeight="1">
      <c r="A86" s="3"/>
      <c r="B86" s="3"/>
      <c r="C86" s="125"/>
      <c r="D86" s="126"/>
      <c r="E86" s="126"/>
      <c r="F86" s="126"/>
      <c r="G86" s="126"/>
      <c r="H86" s="126"/>
      <c r="I86" s="126"/>
      <c r="J86" s="3"/>
      <c r="K86" s="3"/>
      <c r="L86" s="3"/>
      <c r="N86" s="29"/>
      <c r="O86" s="29"/>
      <c r="P86" s="29"/>
      <c r="Q86" s="29"/>
      <c r="R86" s="29"/>
      <c r="S86" s="29"/>
      <c r="T86" s="29"/>
      <c r="U86" s="29"/>
      <c r="V86" s="29"/>
      <c r="W86" s="29"/>
      <c r="X86" s="30"/>
      <c r="Y86" s="30"/>
      <c r="Z86" s="121"/>
    </row>
    <row r="87" spans="1:26" s="2" customFormat="1" ht="54.95" customHeight="1">
      <c r="A87" s="3"/>
      <c r="B87" s="3"/>
      <c r="C87" s="125"/>
      <c r="D87" s="126"/>
      <c r="E87" s="126"/>
      <c r="F87" s="126"/>
      <c r="G87" s="126"/>
      <c r="H87" s="126"/>
      <c r="I87" s="126"/>
      <c r="J87" s="3"/>
      <c r="K87" s="3"/>
      <c r="L87" s="3"/>
      <c r="N87" s="29"/>
      <c r="O87" s="29"/>
      <c r="P87" s="29"/>
      <c r="Q87" s="29"/>
      <c r="R87" s="29"/>
      <c r="S87" s="29"/>
      <c r="T87" s="29"/>
      <c r="U87" s="29"/>
      <c r="V87" s="29"/>
      <c r="W87" s="29"/>
      <c r="X87" s="30"/>
      <c r="Y87" s="30"/>
      <c r="Z87" s="121"/>
    </row>
    <row r="88" spans="1:26" s="2" customFormat="1" ht="54.95" customHeight="1">
      <c r="A88" s="3"/>
      <c r="B88" s="3"/>
      <c r="C88" s="125"/>
      <c r="D88" s="126"/>
      <c r="E88" s="126"/>
      <c r="F88" s="126"/>
      <c r="G88" s="126"/>
      <c r="H88" s="126"/>
      <c r="I88" s="126"/>
      <c r="J88" s="3"/>
      <c r="K88" s="3"/>
      <c r="L88" s="3"/>
      <c r="N88" s="29"/>
      <c r="O88" s="29"/>
      <c r="P88" s="29"/>
      <c r="Q88" s="29"/>
      <c r="R88" s="29"/>
      <c r="S88" s="29"/>
      <c r="T88" s="29"/>
      <c r="U88" s="29"/>
      <c r="V88" s="29"/>
      <c r="W88" s="29"/>
      <c r="X88" s="30"/>
      <c r="Y88" s="30"/>
      <c r="Z88" s="121"/>
    </row>
    <row r="89" spans="1:26" s="2" customFormat="1" ht="54.95" customHeight="1">
      <c r="A89" s="3"/>
      <c r="B89" s="3"/>
      <c r="C89" s="125"/>
      <c r="D89" s="126"/>
      <c r="E89" s="126"/>
      <c r="F89" s="126"/>
      <c r="G89" s="126"/>
      <c r="H89" s="126"/>
      <c r="I89" s="126"/>
      <c r="J89" s="3"/>
      <c r="K89" s="3"/>
      <c r="L89" s="3"/>
      <c r="N89" s="29"/>
      <c r="O89" s="29"/>
      <c r="P89" s="29"/>
      <c r="Q89" s="29"/>
      <c r="R89" s="29"/>
      <c r="S89" s="29"/>
      <c r="T89" s="29"/>
      <c r="U89" s="29"/>
      <c r="V89" s="29"/>
      <c r="W89" s="29"/>
      <c r="X89" s="30"/>
      <c r="Y89" s="30"/>
      <c r="Z89" s="121"/>
    </row>
    <row r="90" spans="1:26" s="2" customFormat="1" ht="54.95" customHeight="1">
      <c r="A90" s="3"/>
      <c r="B90" s="3"/>
      <c r="C90" s="125"/>
      <c r="D90" s="126"/>
      <c r="E90" s="126"/>
      <c r="F90" s="126"/>
      <c r="G90" s="126"/>
      <c r="H90" s="126"/>
      <c r="I90" s="126"/>
      <c r="J90" s="3"/>
      <c r="K90" s="3"/>
      <c r="L90" s="3"/>
      <c r="N90" s="29"/>
      <c r="O90" s="29"/>
      <c r="P90" s="29"/>
      <c r="Q90" s="29"/>
      <c r="R90" s="29"/>
      <c r="S90" s="29"/>
      <c r="T90" s="29"/>
      <c r="U90" s="29"/>
      <c r="V90" s="29"/>
      <c r="W90" s="29"/>
      <c r="X90" s="30"/>
      <c r="Y90" s="30"/>
      <c r="Z90" s="121"/>
    </row>
    <row r="91" spans="1:26" s="2" customFormat="1" ht="54.95" customHeight="1">
      <c r="A91" s="3"/>
      <c r="B91" s="3"/>
      <c r="C91" s="125"/>
      <c r="D91" s="126"/>
      <c r="E91" s="126"/>
      <c r="F91" s="126"/>
      <c r="G91" s="126"/>
      <c r="H91" s="126"/>
      <c r="I91" s="126"/>
      <c r="J91" s="3"/>
      <c r="K91" s="3"/>
      <c r="L91" s="3"/>
      <c r="N91" s="29"/>
      <c r="O91" s="29"/>
      <c r="P91" s="29"/>
      <c r="Q91" s="29"/>
      <c r="R91" s="29"/>
      <c r="S91" s="29"/>
      <c r="T91" s="29"/>
      <c r="U91" s="29"/>
      <c r="V91" s="29"/>
      <c r="W91" s="29"/>
      <c r="X91" s="30"/>
      <c r="Y91" s="30"/>
      <c r="Z91" s="121"/>
    </row>
    <row r="92" spans="1:26" s="2" customFormat="1" ht="54.95" customHeight="1">
      <c r="A92" s="3"/>
      <c r="B92" s="3"/>
      <c r="C92" s="125"/>
      <c r="D92" s="126"/>
      <c r="E92" s="126"/>
      <c r="F92" s="126"/>
      <c r="G92" s="126"/>
      <c r="H92" s="126"/>
      <c r="I92" s="126"/>
      <c r="J92" s="3"/>
      <c r="K92" s="3"/>
      <c r="L92" s="3"/>
      <c r="N92" s="29"/>
      <c r="O92" s="29"/>
      <c r="P92" s="29"/>
      <c r="Q92" s="29"/>
      <c r="R92" s="29"/>
      <c r="S92" s="29"/>
      <c r="T92" s="29"/>
      <c r="U92" s="29"/>
      <c r="V92" s="29"/>
      <c r="W92" s="29"/>
      <c r="X92" s="30"/>
      <c r="Y92" s="30"/>
      <c r="Z92" s="121"/>
    </row>
    <row r="93" spans="1:26" s="2" customFormat="1" ht="54.95" customHeight="1">
      <c r="A93" s="3"/>
      <c r="B93" s="3"/>
      <c r="C93" s="125"/>
      <c r="D93" s="126"/>
      <c r="E93" s="126"/>
      <c r="F93" s="126"/>
      <c r="G93" s="126"/>
      <c r="H93" s="126"/>
      <c r="I93" s="126"/>
      <c r="J93" s="3"/>
      <c r="K93" s="3"/>
      <c r="L93" s="3"/>
      <c r="N93" s="29"/>
      <c r="O93" s="29"/>
      <c r="P93" s="29"/>
      <c r="Q93" s="29"/>
      <c r="R93" s="29"/>
      <c r="S93" s="29"/>
      <c r="T93" s="29"/>
      <c r="U93" s="29"/>
      <c r="V93" s="29"/>
      <c r="W93" s="29"/>
      <c r="X93" s="30"/>
      <c r="Y93" s="30"/>
      <c r="Z93" s="121"/>
    </row>
    <row r="94" spans="1:26" s="2" customFormat="1" ht="54.95" customHeight="1">
      <c r="A94" s="3"/>
      <c r="B94" s="3"/>
      <c r="C94" s="125"/>
      <c r="D94" s="126"/>
      <c r="E94" s="126"/>
      <c r="F94" s="126"/>
      <c r="G94" s="126"/>
      <c r="H94" s="126"/>
      <c r="I94" s="126"/>
      <c r="J94" s="3"/>
      <c r="K94" s="3"/>
      <c r="L94" s="3"/>
      <c r="N94" s="29"/>
      <c r="O94" s="29"/>
      <c r="P94" s="29"/>
      <c r="Q94" s="29"/>
      <c r="R94" s="29"/>
      <c r="S94" s="29"/>
      <c r="T94" s="29"/>
      <c r="U94" s="29"/>
      <c r="V94" s="29"/>
      <c r="W94" s="29"/>
      <c r="X94" s="30"/>
      <c r="Y94" s="30"/>
      <c r="Z94" s="121"/>
    </row>
    <row r="95" spans="1:26" s="2" customFormat="1" ht="54.95" customHeight="1">
      <c r="A95" s="3"/>
      <c r="B95" s="3"/>
      <c r="C95" s="125"/>
      <c r="D95" s="126"/>
      <c r="E95" s="126"/>
      <c r="F95" s="126"/>
      <c r="G95" s="126"/>
      <c r="H95" s="126"/>
      <c r="I95" s="126"/>
      <c r="J95" s="3"/>
      <c r="K95" s="3"/>
      <c r="L95" s="3"/>
      <c r="N95" s="29"/>
      <c r="O95" s="29"/>
      <c r="P95" s="29"/>
      <c r="Q95" s="29"/>
      <c r="R95" s="29"/>
      <c r="S95" s="29"/>
      <c r="T95" s="29"/>
      <c r="U95" s="29"/>
      <c r="V95" s="29"/>
      <c r="W95" s="29"/>
      <c r="X95" s="30"/>
      <c r="Y95" s="30"/>
      <c r="Z95" s="121"/>
    </row>
    <row r="96" spans="1:26" s="2" customFormat="1" ht="54.95" customHeight="1">
      <c r="A96" s="3"/>
      <c r="B96" s="3"/>
      <c r="C96" s="125"/>
      <c r="D96" s="126"/>
      <c r="E96" s="126"/>
      <c r="F96" s="126"/>
      <c r="G96" s="126"/>
      <c r="H96" s="126"/>
      <c r="I96" s="126"/>
      <c r="J96" s="3"/>
      <c r="K96" s="3"/>
      <c r="L96" s="3"/>
      <c r="N96" s="29"/>
      <c r="O96" s="29"/>
      <c r="P96" s="29"/>
      <c r="Q96" s="29"/>
      <c r="R96" s="29"/>
      <c r="S96" s="29"/>
      <c r="T96" s="29"/>
      <c r="U96" s="29"/>
      <c r="V96" s="29"/>
      <c r="W96" s="29"/>
      <c r="X96" s="30"/>
      <c r="Y96" s="30"/>
      <c r="Z96" s="121"/>
    </row>
    <row r="97" ht="54.95" customHeight="1"/>
    <row r="98" ht="54.95" customHeight="1"/>
    <row r="99" ht="54.95" customHeight="1"/>
    <row r="100" ht="54.95" customHeight="1"/>
    <row r="101" ht="54.95" customHeight="1"/>
    <row r="102" ht="54.95" customHeight="1"/>
    <row r="103" ht="54.95" customHeight="1"/>
    <row r="104" ht="54.95" customHeight="1"/>
    <row r="105" ht="54.95" customHeight="1"/>
    <row r="106" ht="54.95" customHeight="1"/>
    <row r="107" ht="54.95" customHeight="1"/>
    <row r="108" ht="54.95" customHeight="1"/>
    <row r="109" ht="54.95" customHeight="1"/>
    <row r="110" ht="54.95" customHeight="1"/>
    <row r="111" ht="54.95" customHeight="1"/>
    <row r="112" ht="54.95" customHeight="1"/>
    <row r="113" ht="54.95" customHeight="1"/>
    <row r="114" ht="54.95" customHeight="1"/>
    <row r="115" ht="54.95" customHeight="1"/>
    <row r="116" ht="54.95" customHeight="1"/>
    <row r="117" ht="54.95" customHeight="1"/>
    <row r="118" ht="54.95" customHeight="1"/>
    <row r="119" ht="54.95" customHeight="1"/>
    <row r="120" ht="54.95" customHeight="1"/>
    <row r="121" ht="54.95" customHeight="1"/>
    <row r="122" ht="54.95" customHeight="1"/>
    <row r="123" ht="54.95" customHeight="1"/>
    <row r="124" ht="54.95" customHeight="1"/>
    <row r="125" ht="54.95" customHeight="1"/>
    <row r="126" ht="54.95" customHeight="1"/>
    <row r="127" ht="54.95" customHeight="1"/>
    <row r="128" ht="54.95" customHeight="1"/>
    <row r="129" ht="54.95" customHeight="1"/>
    <row r="130" ht="54.95" customHeight="1"/>
    <row r="131" ht="54.95" customHeight="1"/>
    <row r="132" ht="54.95" customHeight="1"/>
    <row r="133" ht="54.95" customHeight="1"/>
    <row r="134" ht="54.95" customHeight="1"/>
    <row r="135" ht="54.95" customHeight="1"/>
    <row r="136" ht="54.95" customHeight="1"/>
    <row r="137" ht="54.95" customHeight="1"/>
    <row r="138" ht="54.95" customHeight="1"/>
    <row r="139" ht="54.95" customHeight="1"/>
    <row r="140" ht="54.95" customHeight="1"/>
    <row r="141" ht="54.95" customHeight="1"/>
    <row r="142" ht="54.95" customHeight="1"/>
    <row r="143" ht="54.95" customHeight="1"/>
    <row r="144" ht="54.95" customHeight="1"/>
    <row r="145" ht="54.95" customHeight="1"/>
    <row r="146" ht="54.95" customHeight="1"/>
    <row r="147" ht="54.95" customHeight="1"/>
    <row r="148" ht="54.95" customHeight="1"/>
    <row r="149" ht="54.95" customHeight="1"/>
    <row r="150" ht="54.95" customHeight="1"/>
    <row r="151" ht="54.95" customHeight="1"/>
    <row r="152" ht="54.95" customHeight="1"/>
    <row r="153" ht="54.95" customHeight="1"/>
    <row r="154" ht="54.95" customHeight="1"/>
    <row r="155" ht="54.95" customHeight="1"/>
    <row r="156" ht="54.95" customHeight="1"/>
    <row r="157" ht="54.95" customHeight="1"/>
    <row r="158" ht="54.95" customHeight="1"/>
    <row r="159" ht="54.95" customHeight="1"/>
    <row r="160" ht="54.95" customHeight="1"/>
    <row r="161" ht="54.95" customHeight="1"/>
    <row r="162" ht="54.95" customHeight="1"/>
    <row r="163" ht="54.95" customHeight="1"/>
    <row r="164" ht="54.95" customHeight="1"/>
    <row r="165" ht="54.95" customHeight="1"/>
    <row r="166" ht="54.95" customHeight="1"/>
    <row r="167" ht="54.95" customHeight="1"/>
    <row r="168" ht="54.95" customHeight="1"/>
    <row r="169" ht="54.95" customHeight="1"/>
    <row r="170" ht="54.95" customHeight="1"/>
    <row r="171" ht="54.95" customHeight="1"/>
    <row r="172" ht="54.95" customHeight="1"/>
    <row r="173" ht="54.95" customHeight="1"/>
    <row r="174" ht="54.95" customHeight="1"/>
    <row r="175" ht="54.95" customHeight="1"/>
    <row r="176" ht="54.95" customHeight="1"/>
    <row r="177" spans="1:26" s="2" customFormat="1" ht="54.95" customHeight="1">
      <c r="A177" s="3"/>
      <c r="B177" s="3"/>
      <c r="C177" s="125"/>
      <c r="D177" s="126"/>
      <c r="E177" s="126"/>
      <c r="F177" s="126"/>
      <c r="G177" s="126"/>
      <c r="H177" s="126"/>
      <c r="I177" s="126"/>
      <c r="J177" s="3"/>
      <c r="K177" s="3"/>
      <c r="L177" s="3"/>
      <c r="N177" s="29"/>
      <c r="O177" s="29"/>
      <c r="P177" s="29"/>
      <c r="Q177" s="29"/>
      <c r="R177" s="29"/>
      <c r="S177" s="29"/>
      <c r="T177" s="29"/>
      <c r="U177" s="29"/>
      <c r="V177" s="29"/>
      <c r="W177" s="29"/>
      <c r="X177" s="30"/>
      <c r="Y177" s="30"/>
      <c r="Z177" s="121"/>
    </row>
    <row r="178" spans="1:26" s="2" customFormat="1" ht="54.95" customHeight="1">
      <c r="A178" s="3"/>
      <c r="B178" s="3"/>
      <c r="C178" s="125"/>
      <c r="D178" s="126"/>
      <c r="E178" s="126"/>
      <c r="F178" s="126"/>
      <c r="G178" s="126"/>
      <c r="H178" s="126"/>
      <c r="I178" s="126"/>
      <c r="J178" s="3"/>
      <c r="K178" s="3"/>
      <c r="L178" s="3"/>
      <c r="N178" s="29"/>
      <c r="O178" s="29"/>
      <c r="P178" s="29"/>
      <c r="Q178" s="29"/>
      <c r="R178" s="29"/>
      <c r="S178" s="29"/>
      <c r="T178" s="29"/>
      <c r="U178" s="29"/>
      <c r="V178" s="29"/>
      <c r="W178" s="29"/>
      <c r="X178" s="30"/>
      <c r="Y178" s="30"/>
      <c r="Z178" s="121"/>
    </row>
    <row r="179" spans="1:26" s="2" customFormat="1" ht="54.95" customHeight="1">
      <c r="A179" s="3"/>
      <c r="B179" s="3"/>
      <c r="C179" s="125"/>
      <c r="D179" s="126"/>
      <c r="E179" s="126"/>
      <c r="F179" s="126"/>
      <c r="G179" s="126"/>
      <c r="H179" s="126"/>
      <c r="I179" s="126"/>
      <c r="J179" s="3"/>
      <c r="K179" s="3"/>
      <c r="L179" s="3"/>
      <c r="N179" s="29"/>
      <c r="O179" s="29"/>
      <c r="P179" s="29"/>
      <c r="Q179" s="29"/>
      <c r="R179" s="29"/>
      <c r="S179" s="29"/>
      <c r="T179" s="29"/>
      <c r="U179" s="29"/>
      <c r="V179" s="29"/>
      <c r="W179" s="29"/>
      <c r="X179" s="30"/>
      <c r="Y179" s="30"/>
      <c r="Z179" s="121"/>
    </row>
    <row r="180" spans="1:26" s="2" customFormat="1" ht="54.95" customHeight="1">
      <c r="A180" s="3"/>
      <c r="B180" s="3"/>
      <c r="C180" s="125"/>
      <c r="D180" s="126"/>
      <c r="E180" s="126"/>
      <c r="F180" s="126"/>
      <c r="G180" s="126"/>
      <c r="H180" s="126"/>
      <c r="I180" s="126"/>
      <c r="J180" s="3"/>
      <c r="K180" s="3"/>
      <c r="L180" s="3"/>
      <c r="N180" s="29"/>
      <c r="O180" s="29"/>
      <c r="P180" s="29"/>
      <c r="Q180" s="29"/>
      <c r="R180" s="29"/>
      <c r="S180" s="29"/>
      <c r="T180" s="29"/>
      <c r="U180" s="29"/>
      <c r="V180" s="29"/>
      <c r="W180" s="29"/>
      <c r="X180" s="30"/>
      <c r="Y180" s="30"/>
      <c r="Z180" s="121"/>
    </row>
    <row r="181" spans="1:26" s="2" customFormat="1" ht="54.95" customHeight="1">
      <c r="A181" s="3"/>
      <c r="B181" s="3"/>
      <c r="C181" s="125"/>
      <c r="D181" s="126"/>
      <c r="E181" s="126"/>
      <c r="F181" s="126"/>
      <c r="G181" s="126"/>
      <c r="H181" s="126"/>
      <c r="I181" s="126"/>
      <c r="J181" s="3"/>
      <c r="K181" s="3"/>
      <c r="L181" s="3"/>
      <c r="N181" s="29"/>
      <c r="O181" s="29"/>
      <c r="P181" s="29"/>
      <c r="Q181" s="29"/>
      <c r="R181" s="29"/>
      <c r="S181" s="29"/>
      <c r="T181" s="29"/>
      <c r="U181" s="29"/>
      <c r="V181" s="29"/>
      <c r="W181" s="29"/>
      <c r="X181" s="30"/>
      <c r="Y181" s="30"/>
      <c r="Z181" s="121"/>
    </row>
    <row r="182" spans="1:26" s="2" customFormat="1" ht="54.95" customHeight="1">
      <c r="C182" s="135"/>
      <c r="D182" s="136"/>
      <c r="E182" s="136"/>
      <c r="F182" s="136"/>
      <c r="G182" s="136"/>
      <c r="H182" s="136"/>
      <c r="I182" s="136"/>
      <c r="N182" s="124"/>
      <c r="O182" s="124"/>
      <c r="P182" s="124"/>
      <c r="Q182" s="124"/>
      <c r="R182" s="124"/>
      <c r="S182" s="124"/>
      <c r="T182" s="124"/>
      <c r="U182" s="124"/>
      <c r="V182" s="124"/>
      <c r="W182" s="124"/>
      <c r="X182" s="121"/>
      <c r="Y182" s="121"/>
      <c r="Z182" s="121"/>
    </row>
    <row r="183" spans="1:26" s="15" customFormat="1" ht="54.95" hidden="1" customHeight="1">
      <c r="B183" s="15" t="str">
        <f>A73</f>
        <v>كميت سنجه عملكرد همسان شده :</v>
      </c>
      <c r="C183" s="128" t="s">
        <v>161</v>
      </c>
      <c r="D183" s="129">
        <f>$L$73*[30]روکش!$D$3</f>
        <v>0</v>
      </c>
      <c r="E183" s="129"/>
      <c r="F183" s="129"/>
      <c r="G183" s="129"/>
      <c r="H183" s="129"/>
      <c r="I183" s="129"/>
      <c r="N183" s="29"/>
      <c r="O183" s="29"/>
      <c r="P183" s="29"/>
      <c r="Q183" s="29"/>
      <c r="R183" s="29"/>
      <c r="S183" s="29"/>
      <c r="T183" s="29"/>
      <c r="U183" s="29"/>
      <c r="V183" s="29"/>
      <c r="W183" s="29"/>
      <c r="X183" s="30"/>
      <c r="Y183" s="30"/>
      <c r="Z183" s="30"/>
    </row>
    <row r="184" spans="1:26" s="15" customFormat="1" ht="54.95" hidden="1" customHeight="1">
      <c r="C184" s="128" t="s">
        <v>441</v>
      </c>
      <c r="D184" s="129">
        <f>$M$73*[30]روکش!$D$3</f>
        <v>0</v>
      </c>
      <c r="E184" s="129"/>
      <c r="F184" s="129"/>
      <c r="G184" s="129"/>
      <c r="H184" s="129"/>
      <c r="I184" s="129"/>
      <c r="N184" s="29"/>
      <c r="O184" s="29"/>
      <c r="P184" s="29"/>
      <c r="Q184" s="29"/>
      <c r="R184" s="29"/>
      <c r="S184" s="29"/>
      <c r="T184" s="29"/>
      <c r="U184" s="29"/>
      <c r="V184" s="29"/>
      <c r="W184" s="29"/>
      <c r="X184" s="30"/>
      <c r="Y184" s="30"/>
      <c r="Z184" s="30"/>
    </row>
    <row r="185" spans="1:26" s="2" customFormat="1" ht="54.95" customHeight="1">
      <c r="C185" s="135"/>
      <c r="D185" s="136"/>
      <c r="E185" s="136"/>
      <c r="F185" s="136"/>
      <c r="G185" s="136"/>
      <c r="H185" s="136"/>
      <c r="I185" s="136"/>
      <c r="N185" s="124"/>
      <c r="O185" s="124"/>
      <c r="P185" s="124"/>
      <c r="Q185" s="124"/>
      <c r="R185" s="124"/>
      <c r="S185" s="124"/>
      <c r="T185" s="124"/>
      <c r="U185" s="124"/>
      <c r="V185" s="124"/>
      <c r="W185" s="124"/>
      <c r="X185" s="121"/>
      <c r="Y185" s="121"/>
      <c r="Z185" s="121"/>
    </row>
    <row r="186" spans="1:26" s="2" customFormat="1" ht="54.95" customHeight="1">
      <c r="A186" s="3"/>
      <c r="B186" s="3"/>
      <c r="C186" s="125"/>
      <c r="D186" s="126"/>
      <c r="E186" s="126"/>
      <c r="F186" s="126"/>
      <c r="G186" s="126"/>
      <c r="H186" s="126"/>
      <c r="I186" s="126"/>
      <c r="J186" s="3"/>
      <c r="K186" s="3"/>
      <c r="L186" s="3"/>
      <c r="N186" s="29"/>
      <c r="O186" s="29"/>
      <c r="P186" s="29"/>
      <c r="Q186" s="29"/>
      <c r="R186" s="29"/>
      <c r="S186" s="29"/>
      <c r="T186" s="29"/>
      <c r="U186" s="29"/>
      <c r="V186" s="29"/>
      <c r="W186" s="29"/>
      <c r="X186" s="30"/>
      <c r="Y186" s="30"/>
      <c r="Z186" s="121"/>
    </row>
    <row r="187" spans="1:26" s="2" customFormat="1" ht="54.95" customHeight="1">
      <c r="A187" s="3"/>
      <c r="B187" s="3"/>
      <c r="C187" s="125"/>
      <c r="D187" s="126"/>
      <c r="E187" s="126"/>
      <c r="F187" s="126"/>
      <c r="G187" s="126"/>
      <c r="H187" s="126"/>
      <c r="I187" s="126"/>
      <c r="J187" s="3"/>
      <c r="K187" s="3"/>
      <c r="L187" s="3"/>
      <c r="N187" s="29"/>
      <c r="O187" s="29"/>
      <c r="P187" s="29"/>
      <c r="Q187" s="29"/>
      <c r="R187" s="29"/>
      <c r="S187" s="29"/>
      <c r="T187" s="29"/>
      <c r="U187" s="29"/>
      <c r="V187" s="29"/>
      <c r="W187" s="29"/>
      <c r="X187" s="30"/>
      <c r="Y187" s="30"/>
      <c r="Z187" s="121"/>
    </row>
    <row r="188" spans="1:26" s="2" customFormat="1" ht="54.95" customHeight="1">
      <c r="A188" s="3"/>
      <c r="B188" s="3"/>
      <c r="C188" s="125"/>
      <c r="D188" s="126"/>
      <c r="E188" s="126"/>
      <c r="F188" s="126"/>
      <c r="G188" s="126"/>
      <c r="H188" s="126"/>
      <c r="I188" s="126"/>
      <c r="J188" s="3"/>
      <c r="K188" s="3"/>
      <c r="L188" s="3"/>
      <c r="N188" s="29"/>
      <c r="O188" s="29"/>
      <c r="P188" s="29"/>
      <c r="Q188" s="29"/>
      <c r="R188" s="29"/>
      <c r="S188" s="29"/>
      <c r="T188" s="29"/>
      <c r="U188" s="29"/>
      <c r="V188" s="29"/>
      <c r="W188" s="29"/>
      <c r="X188" s="30"/>
      <c r="Y188" s="30"/>
      <c r="Z188" s="121"/>
    </row>
    <row r="189" spans="1:26" s="2" customFormat="1" ht="54.95" customHeight="1">
      <c r="A189" s="3"/>
      <c r="B189" s="3"/>
      <c r="C189" s="125"/>
      <c r="D189" s="126"/>
      <c r="E189" s="126"/>
      <c r="F189" s="126"/>
      <c r="G189" s="126"/>
      <c r="H189" s="126"/>
      <c r="I189" s="126"/>
      <c r="J189" s="3"/>
      <c r="K189" s="3"/>
      <c r="L189" s="3"/>
      <c r="N189" s="29"/>
      <c r="O189" s="29"/>
      <c r="P189" s="29"/>
      <c r="Q189" s="29"/>
      <c r="R189" s="29"/>
      <c r="S189" s="29"/>
      <c r="T189" s="29"/>
      <c r="U189" s="29"/>
      <c r="V189" s="29"/>
      <c r="W189" s="29"/>
      <c r="X189" s="30"/>
      <c r="Y189" s="30"/>
      <c r="Z189" s="121"/>
    </row>
    <row r="190" spans="1:26" s="2" customFormat="1" ht="54.95" customHeight="1">
      <c r="A190" s="3"/>
      <c r="B190" s="3"/>
      <c r="C190" s="125"/>
      <c r="D190" s="126"/>
      <c r="E190" s="126"/>
      <c r="F190" s="126"/>
      <c r="G190" s="126"/>
      <c r="H190" s="126"/>
      <c r="I190" s="126"/>
      <c r="J190" s="3"/>
      <c r="K190" s="3"/>
      <c r="L190" s="3"/>
      <c r="N190" s="29"/>
      <c r="O190" s="29"/>
      <c r="P190" s="29"/>
      <c r="Q190" s="29"/>
      <c r="R190" s="29"/>
      <c r="S190" s="29"/>
      <c r="T190" s="29"/>
      <c r="U190" s="29"/>
      <c r="V190" s="29"/>
      <c r="W190" s="29"/>
      <c r="X190" s="30"/>
      <c r="Y190" s="30"/>
      <c r="Z190" s="121"/>
    </row>
    <row r="191" spans="1:26" s="2" customFormat="1" ht="54.95" customHeight="1">
      <c r="A191" s="3"/>
      <c r="B191" s="3"/>
      <c r="C191" s="125"/>
      <c r="D191" s="126"/>
      <c r="E191" s="126"/>
      <c r="F191" s="126"/>
      <c r="G191" s="126"/>
      <c r="H191" s="126"/>
      <c r="I191" s="126"/>
      <c r="J191" s="3"/>
      <c r="K191" s="3"/>
      <c r="L191" s="3"/>
      <c r="N191" s="29"/>
      <c r="O191" s="29"/>
      <c r="P191" s="29"/>
      <c r="Q191" s="29"/>
      <c r="R191" s="29"/>
      <c r="S191" s="29"/>
      <c r="T191" s="29"/>
      <c r="U191" s="29"/>
      <c r="V191" s="29"/>
      <c r="W191" s="29"/>
      <c r="X191" s="30"/>
      <c r="Y191" s="30"/>
      <c r="Z191" s="121"/>
    </row>
    <row r="192" spans="1:26" s="2" customFormat="1" ht="54.95" customHeight="1">
      <c r="A192" s="3"/>
      <c r="B192" s="3"/>
      <c r="C192" s="125"/>
      <c r="D192" s="126"/>
      <c r="E192" s="126"/>
      <c r="F192" s="126"/>
      <c r="G192" s="126"/>
      <c r="H192" s="126"/>
      <c r="I192" s="126"/>
      <c r="J192" s="3"/>
      <c r="K192" s="3"/>
      <c r="L192" s="3"/>
      <c r="N192" s="29"/>
      <c r="O192" s="29"/>
      <c r="P192" s="29"/>
      <c r="Q192" s="29"/>
      <c r="R192" s="29"/>
      <c r="S192" s="29"/>
      <c r="T192" s="29"/>
      <c r="U192" s="29"/>
      <c r="V192" s="29"/>
      <c r="W192" s="29"/>
      <c r="X192" s="30"/>
      <c r="Y192" s="30"/>
      <c r="Z192" s="121"/>
    </row>
    <row r="193" ht="54.95" customHeight="1"/>
    <row r="194" ht="54.95" customHeight="1"/>
    <row r="195" ht="54.95" customHeight="1"/>
    <row r="196" ht="54.95" customHeight="1"/>
    <row r="197" ht="54.95" customHeight="1"/>
    <row r="198" ht="54.95" customHeight="1"/>
    <row r="199" ht="54.95" customHeight="1"/>
    <row r="200" ht="54.95" customHeight="1"/>
    <row r="201" ht="54.95" customHeight="1"/>
    <row r="202" ht="54.95" customHeight="1"/>
    <row r="203" ht="54.95" customHeight="1"/>
    <row r="204" ht="54.95" customHeight="1"/>
    <row r="205" ht="54.95" customHeight="1"/>
    <row r="206" ht="54.95" customHeight="1"/>
    <row r="207" ht="54.95" customHeight="1"/>
    <row r="208" ht="54.95" customHeight="1"/>
    <row r="209" ht="54.95" customHeight="1"/>
    <row r="210" ht="54.95" customHeight="1"/>
    <row r="211" ht="54.95" customHeight="1"/>
    <row r="212" ht="54.95" customHeight="1"/>
    <row r="213" ht="54.95" customHeight="1"/>
    <row r="214" ht="54.95" customHeight="1"/>
    <row r="215" ht="54.95" customHeight="1"/>
    <row r="216" ht="54.95" customHeight="1"/>
    <row r="217" ht="54.95" customHeight="1"/>
    <row r="218" ht="54.95" customHeight="1"/>
    <row r="219" ht="54.95" customHeight="1"/>
    <row r="220" ht="54.95" customHeight="1"/>
    <row r="221" ht="54.95" customHeight="1"/>
    <row r="222" ht="54.95" customHeight="1"/>
    <row r="223" ht="54.95" customHeight="1"/>
    <row r="224" ht="54.95" customHeight="1"/>
    <row r="225" ht="54.95" customHeight="1"/>
    <row r="226" ht="54.95" customHeight="1"/>
    <row r="227" ht="54.95" customHeight="1"/>
    <row r="228" ht="54.95" customHeight="1"/>
    <row r="229" ht="54.95" customHeight="1"/>
    <row r="230" ht="54.95" customHeight="1"/>
    <row r="231" ht="54.95" customHeight="1"/>
    <row r="232" ht="54.95" customHeight="1"/>
    <row r="233" ht="54.95" customHeight="1"/>
    <row r="234" ht="54.95" customHeight="1"/>
    <row r="235" ht="54.95" customHeight="1"/>
    <row r="236" ht="54.95" customHeight="1"/>
    <row r="237" ht="54.95" customHeight="1"/>
    <row r="238" ht="54.95" customHeight="1"/>
    <row r="239" ht="54.95" customHeight="1"/>
    <row r="240" ht="54.95" customHeight="1"/>
    <row r="241" ht="54.95" customHeight="1"/>
    <row r="242" ht="54.95" customHeight="1"/>
    <row r="243" ht="54.95" customHeight="1"/>
    <row r="244" ht="54.95" customHeight="1"/>
    <row r="245" ht="54.95" customHeight="1"/>
    <row r="246" ht="54.95" customHeight="1"/>
    <row r="247" ht="54.95" customHeight="1"/>
    <row r="248" ht="54.95" customHeight="1"/>
    <row r="249" ht="54.95" customHeight="1"/>
    <row r="250" ht="54.95" customHeight="1"/>
    <row r="251" ht="54.95" customHeight="1"/>
    <row r="252" ht="54.95" customHeight="1"/>
    <row r="253" ht="54.95" customHeight="1"/>
    <row r="254" ht="54.95" customHeight="1"/>
    <row r="255" ht="54.95" customHeight="1"/>
    <row r="256" ht="54.95" customHeight="1"/>
    <row r="257" ht="54.95" customHeight="1"/>
    <row r="258" ht="54.95" customHeight="1"/>
    <row r="259" ht="54.95" customHeight="1"/>
    <row r="260" ht="54.95" customHeight="1"/>
    <row r="261" ht="54.95" customHeight="1"/>
    <row r="262" ht="54.95" customHeight="1"/>
    <row r="263" ht="54.95" customHeight="1"/>
    <row r="264" ht="54.95" customHeight="1"/>
    <row r="265" ht="54.95" customHeight="1"/>
    <row r="266" ht="54.95" customHeight="1"/>
    <row r="267" ht="54.95" customHeight="1"/>
    <row r="268" ht="54.95" customHeight="1"/>
    <row r="269" ht="54.95" customHeight="1"/>
    <row r="270" ht="54.95" customHeight="1"/>
    <row r="271" ht="54.95" customHeight="1"/>
    <row r="272" ht="54.95" customHeight="1"/>
    <row r="273" ht="54.95" customHeight="1"/>
    <row r="274" ht="54.95" customHeight="1"/>
    <row r="275" ht="54.95" customHeight="1"/>
    <row r="276" ht="54.95" customHeight="1"/>
    <row r="277" ht="54.95" customHeight="1"/>
    <row r="278" ht="54.95" customHeight="1"/>
    <row r="279" ht="54.95" customHeight="1"/>
    <row r="280" ht="54.95" customHeight="1"/>
    <row r="281" ht="54.95" customHeight="1"/>
    <row r="282" ht="54.95" customHeight="1"/>
    <row r="283" ht="54.95" customHeight="1"/>
    <row r="284" ht="54.95" customHeight="1"/>
    <row r="285" ht="54.95" customHeight="1"/>
    <row r="286" ht="54.95" customHeight="1"/>
    <row r="287" ht="54.95" customHeight="1"/>
    <row r="288" ht="54.95" customHeight="1"/>
    <row r="289" ht="54.95" customHeight="1"/>
    <row r="290" ht="54.95" customHeight="1"/>
  </sheetData>
  <mergeCells count="13">
    <mergeCell ref="A73:B73"/>
    <mergeCell ref="C73:K73"/>
    <mergeCell ref="A74:L74"/>
    <mergeCell ref="A1:M1"/>
    <mergeCell ref="B2:B3"/>
    <mergeCell ref="C2:C3"/>
    <mergeCell ref="D2:G2"/>
    <mergeCell ref="H2:H3"/>
    <mergeCell ref="I2:I3"/>
    <mergeCell ref="J2:J3"/>
    <mergeCell ref="K2:K3"/>
    <mergeCell ref="L2:L3"/>
    <mergeCell ref="M2:M3"/>
  </mergeCells>
  <pageMargins left="0.7" right="0.7" top="0.75" bottom="0.75" header="0.3" footer="0.3"/>
  <pageSetup paperSize="9" scale="62" orientation="portrait" r:id="rId1"/>
  <ignoredErrors>
    <ignoredError sqref="C39" formula="1"/>
  </ignoredErrors>
  <drawing r:id="rId2"/>
  <legacyDrawing r:id="rId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showGridLines="0" rightToLeft="1" workbookViewId="0">
      <selection activeCell="A11" sqref="A11:AC11"/>
    </sheetView>
  </sheetViews>
  <sheetFormatPr defaultColWidth="25" defaultRowHeight="54.95" customHeight="1"/>
  <cols>
    <col min="1" max="2" width="12.1640625" style="316" customWidth="1"/>
    <col min="3" max="3" width="28.33203125" style="316" customWidth="1"/>
    <col min="4" max="4" width="11.5" style="316" customWidth="1"/>
    <col min="5" max="8" width="5.5" style="316" customWidth="1"/>
    <col min="9" max="12" width="5.5" style="147" customWidth="1"/>
    <col min="13" max="20" width="5.5" style="316" customWidth="1"/>
    <col min="21" max="28" width="5.5" style="147" customWidth="1"/>
    <col min="29" max="29" width="11.5" style="147" customWidth="1"/>
    <col min="30" max="31" width="5.5" style="147" customWidth="1"/>
    <col min="32" max="16384" width="25" style="147"/>
  </cols>
  <sheetData>
    <row r="1" spans="1:29" s="146" customFormat="1" ht="54.95" customHeight="1">
      <c r="A1" s="435" t="s">
        <v>724</v>
      </c>
      <c r="B1" s="436"/>
      <c r="C1" s="436"/>
      <c r="D1" s="436"/>
      <c r="E1" s="436"/>
      <c r="F1" s="436"/>
      <c r="G1" s="436"/>
      <c r="H1" s="436"/>
      <c r="I1" s="436"/>
      <c r="J1" s="436"/>
      <c r="K1" s="436"/>
      <c r="L1" s="436"/>
      <c r="M1" s="436"/>
      <c r="N1" s="436"/>
      <c r="O1" s="436"/>
      <c r="P1" s="436"/>
      <c r="Q1" s="436"/>
      <c r="R1" s="436"/>
      <c r="S1" s="436"/>
      <c r="T1" s="436"/>
      <c r="U1" s="436"/>
      <c r="V1" s="436"/>
      <c r="W1" s="436"/>
      <c r="X1" s="436"/>
      <c r="Y1" s="436"/>
      <c r="Z1" s="436"/>
      <c r="AA1" s="436"/>
      <c r="AB1" s="436"/>
      <c r="AC1" s="437"/>
    </row>
    <row r="2" spans="1:29" s="146" customFormat="1" ht="54.95" customHeight="1">
      <c r="A2" s="438"/>
      <c r="B2" s="468" t="s">
        <v>0</v>
      </c>
      <c r="C2" s="470" t="s">
        <v>677</v>
      </c>
      <c r="D2" s="472" t="s">
        <v>678</v>
      </c>
      <c r="E2" s="474">
        <v>1399</v>
      </c>
      <c r="F2" s="475"/>
      <c r="G2" s="475"/>
      <c r="H2" s="475"/>
      <c r="I2" s="475"/>
      <c r="J2" s="475"/>
      <c r="K2" s="475"/>
      <c r="L2" s="476"/>
      <c r="M2" s="493">
        <v>1400</v>
      </c>
      <c r="N2" s="494"/>
      <c r="O2" s="494"/>
      <c r="P2" s="494"/>
      <c r="Q2" s="494"/>
      <c r="R2" s="494"/>
      <c r="S2" s="494"/>
      <c r="T2" s="495"/>
      <c r="U2" s="474">
        <v>1401</v>
      </c>
      <c r="V2" s="475"/>
      <c r="W2" s="475"/>
      <c r="X2" s="475"/>
      <c r="Y2" s="475"/>
      <c r="Z2" s="475"/>
      <c r="AA2" s="475"/>
      <c r="AB2" s="476"/>
      <c r="AC2" s="439"/>
    </row>
    <row r="3" spans="1:29" s="146" customFormat="1" ht="69.75" customHeight="1">
      <c r="A3" s="438"/>
      <c r="B3" s="469"/>
      <c r="C3" s="471"/>
      <c r="D3" s="473"/>
      <c r="E3" s="477" t="s">
        <v>681</v>
      </c>
      <c r="F3" s="478"/>
      <c r="G3" s="479" t="s">
        <v>682</v>
      </c>
      <c r="H3" s="478"/>
      <c r="I3" s="480" t="s">
        <v>683</v>
      </c>
      <c r="J3" s="480"/>
      <c r="K3" s="480" t="s">
        <v>684</v>
      </c>
      <c r="L3" s="481"/>
      <c r="M3" s="477" t="s">
        <v>681</v>
      </c>
      <c r="N3" s="478"/>
      <c r="O3" s="479" t="s">
        <v>682</v>
      </c>
      <c r="P3" s="478"/>
      <c r="Q3" s="479" t="s">
        <v>683</v>
      </c>
      <c r="R3" s="478"/>
      <c r="S3" s="479" t="s">
        <v>684</v>
      </c>
      <c r="T3" s="489"/>
      <c r="U3" s="482" t="s">
        <v>681</v>
      </c>
      <c r="V3" s="480"/>
      <c r="W3" s="480" t="s">
        <v>682</v>
      </c>
      <c r="X3" s="480"/>
      <c r="Y3" s="480" t="s">
        <v>683</v>
      </c>
      <c r="Z3" s="480"/>
      <c r="AA3" s="480" t="s">
        <v>684</v>
      </c>
      <c r="AB3" s="481"/>
      <c r="AC3" s="439"/>
    </row>
    <row r="4" spans="1:29" s="146" customFormat="1" ht="54.95" customHeight="1">
      <c r="A4" s="438"/>
      <c r="B4" s="326" t="s">
        <v>629</v>
      </c>
      <c r="C4" s="327" t="s">
        <v>685</v>
      </c>
      <c r="D4" s="324" t="s">
        <v>686</v>
      </c>
      <c r="E4" s="483"/>
      <c r="F4" s="484"/>
      <c r="G4" s="485"/>
      <c r="H4" s="484"/>
      <c r="I4" s="486"/>
      <c r="J4" s="486"/>
      <c r="K4" s="486"/>
      <c r="L4" s="487"/>
      <c r="M4" s="483"/>
      <c r="N4" s="484"/>
      <c r="O4" s="485"/>
      <c r="P4" s="484"/>
      <c r="Q4" s="485"/>
      <c r="R4" s="484"/>
      <c r="S4" s="485"/>
      <c r="T4" s="492"/>
      <c r="U4" s="488"/>
      <c r="V4" s="486"/>
      <c r="W4" s="486"/>
      <c r="X4" s="486"/>
      <c r="Y4" s="486"/>
      <c r="Z4" s="486"/>
      <c r="AA4" s="486"/>
      <c r="AB4" s="487"/>
      <c r="AC4" s="439"/>
    </row>
    <row r="5" spans="1:29" s="146" customFormat="1" ht="54.95" customHeight="1">
      <c r="A5" s="438"/>
      <c r="B5" s="468" t="s">
        <v>0</v>
      </c>
      <c r="C5" s="470" t="s">
        <v>677</v>
      </c>
      <c r="D5" s="472" t="s">
        <v>687</v>
      </c>
      <c r="E5" s="474">
        <v>1399</v>
      </c>
      <c r="F5" s="475"/>
      <c r="G5" s="475"/>
      <c r="H5" s="475"/>
      <c r="I5" s="475"/>
      <c r="J5" s="475"/>
      <c r="K5" s="475"/>
      <c r="L5" s="476"/>
      <c r="M5" s="493">
        <v>1400</v>
      </c>
      <c r="N5" s="494"/>
      <c r="O5" s="494"/>
      <c r="P5" s="494"/>
      <c r="Q5" s="494"/>
      <c r="R5" s="494"/>
      <c r="S5" s="494"/>
      <c r="T5" s="495"/>
      <c r="U5" s="474">
        <v>1401</v>
      </c>
      <c r="V5" s="475"/>
      <c r="W5" s="475"/>
      <c r="X5" s="475"/>
      <c r="Y5" s="475"/>
      <c r="Z5" s="475"/>
      <c r="AA5" s="475"/>
      <c r="AB5" s="476"/>
      <c r="AC5" s="439"/>
    </row>
    <row r="6" spans="1:29" s="146" customFormat="1" ht="129.75" customHeight="1">
      <c r="A6" s="438"/>
      <c r="B6" s="469"/>
      <c r="C6" s="471"/>
      <c r="D6" s="473"/>
      <c r="E6" s="319" t="s">
        <v>688</v>
      </c>
      <c r="F6" s="315" t="s">
        <v>689</v>
      </c>
      <c r="G6" s="315" t="s">
        <v>690</v>
      </c>
      <c r="H6" s="315" t="s">
        <v>691</v>
      </c>
      <c r="I6" s="315" t="s">
        <v>692</v>
      </c>
      <c r="J6" s="304" t="s">
        <v>693</v>
      </c>
      <c r="K6" s="315" t="s">
        <v>694</v>
      </c>
      <c r="L6" s="320" t="s">
        <v>695</v>
      </c>
      <c r="M6" s="319" t="s">
        <v>688</v>
      </c>
      <c r="N6" s="315" t="s">
        <v>689</v>
      </c>
      <c r="O6" s="315" t="s">
        <v>690</v>
      </c>
      <c r="P6" s="315" t="s">
        <v>691</v>
      </c>
      <c r="Q6" s="315" t="s">
        <v>692</v>
      </c>
      <c r="R6" s="315" t="s">
        <v>693</v>
      </c>
      <c r="S6" s="315" t="s">
        <v>694</v>
      </c>
      <c r="T6" s="320" t="s">
        <v>695</v>
      </c>
      <c r="U6" s="319" t="s">
        <v>688</v>
      </c>
      <c r="V6" s="315" t="s">
        <v>689</v>
      </c>
      <c r="W6" s="315" t="s">
        <v>690</v>
      </c>
      <c r="X6" s="315" t="s">
        <v>691</v>
      </c>
      <c r="Y6" s="315" t="s">
        <v>692</v>
      </c>
      <c r="Z6" s="304" t="s">
        <v>693</v>
      </c>
      <c r="AA6" s="315" t="s">
        <v>694</v>
      </c>
      <c r="AB6" s="320" t="s">
        <v>695</v>
      </c>
      <c r="AC6" s="439"/>
    </row>
    <row r="7" spans="1:29" s="146" customFormat="1" ht="54.95" customHeight="1">
      <c r="A7" s="438"/>
      <c r="B7" s="326" t="s">
        <v>630</v>
      </c>
      <c r="C7" s="327" t="s">
        <v>696</v>
      </c>
      <c r="D7" s="324" t="s">
        <v>686</v>
      </c>
      <c r="E7" s="321"/>
      <c r="F7" s="322"/>
      <c r="G7" s="322"/>
      <c r="H7" s="322"/>
      <c r="I7" s="322"/>
      <c r="J7" s="322"/>
      <c r="K7" s="322"/>
      <c r="L7" s="323"/>
      <c r="M7" s="321"/>
      <c r="N7" s="322"/>
      <c r="O7" s="322"/>
      <c r="P7" s="322"/>
      <c r="Q7" s="322"/>
      <c r="R7" s="322"/>
      <c r="S7" s="322"/>
      <c r="T7" s="323"/>
      <c r="U7" s="321"/>
      <c r="V7" s="322"/>
      <c r="W7" s="322"/>
      <c r="X7" s="322"/>
      <c r="Y7" s="322"/>
      <c r="Z7" s="322"/>
      <c r="AA7" s="322"/>
      <c r="AB7" s="323"/>
      <c r="AC7" s="439"/>
    </row>
    <row r="8" spans="1:29" s="146" customFormat="1" ht="54.95" customHeight="1">
      <c r="A8" s="438"/>
      <c r="B8" s="468" t="s">
        <v>0</v>
      </c>
      <c r="C8" s="470" t="s">
        <v>626</v>
      </c>
      <c r="D8" s="490" t="s">
        <v>697</v>
      </c>
      <c r="E8" s="474">
        <v>1399</v>
      </c>
      <c r="F8" s="475"/>
      <c r="G8" s="475"/>
      <c r="H8" s="475"/>
      <c r="I8" s="475"/>
      <c r="J8" s="475"/>
      <c r="K8" s="475"/>
      <c r="L8" s="476"/>
      <c r="M8" s="493">
        <v>1400</v>
      </c>
      <c r="N8" s="494"/>
      <c r="O8" s="494"/>
      <c r="P8" s="494"/>
      <c r="Q8" s="494"/>
      <c r="R8" s="494"/>
      <c r="S8" s="494"/>
      <c r="T8" s="495"/>
      <c r="U8" s="474">
        <v>1401</v>
      </c>
      <c r="V8" s="475"/>
      <c r="W8" s="475"/>
      <c r="X8" s="475"/>
      <c r="Y8" s="475"/>
      <c r="Z8" s="475"/>
      <c r="AA8" s="475"/>
      <c r="AB8" s="476"/>
      <c r="AC8" s="439"/>
    </row>
    <row r="9" spans="1:29" s="146" customFormat="1" ht="114" customHeight="1">
      <c r="A9" s="438"/>
      <c r="B9" s="469"/>
      <c r="C9" s="471"/>
      <c r="D9" s="491"/>
      <c r="E9" s="319" t="s">
        <v>698</v>
      </c>
      <c r="F9" s="315" t="s">
        <v>699</v>
      </c>
      <c r="G9" s="315" t="s">
        <v>700</v>
      </c>
      <c r="H9" s="315" t="s">
        <v>701</v>
      </c>
      <c r="I9" s="480" t="s">
        <v>702</v>
      </c>
      <c r="J9" s="480"/>
      <c r="K9" s="480" t="s">
        <v>703</v>
      </c>
      <c r="L9" s="481"/>
      <c r="M9" s="319" t="s">
        <v>698</v>
      </c>
      <c r="N9" s="315" t="s">
        <v>699</v>
      </c>
      <c r="O9" s="315" t="s">
        <v>700</v>
      </c>
      <c r="P9" s="315" t="s">
        <v>701</v>
      </c>
      <c r="Q9" s="479" t="s">
        <v>702</v>
      </c>
      <c r="R9" s="478"/>
      <c r="S9" s="479" t="s">
        <v>703</v>
      </c>
      <c r="T9" s="489"/>
      <c r="U9" s="319" t="s">
        <v>698</v>
      </c>
      <c r="V9" s="315" t="s">
        <v>699</v>
      </c>
      <c r="W9" s="315" t="s">
        <v>700</v>
      </c>
      <c r="X9" s="315" t="s">
        <v>701</v>
      </c>
      <c r="Y9" s="480" t="s">
        <v>702</v>
      </c>
      <c r="Z9" s="480"/>
      <c r="AA9" s="480" t="s">
        <v>703</v>
      </c>
      <c r="AB9" s="481"/>
      <c r="AC9" s="439"/>
    </row>
    <row r="10" spans="1:29" s="146" customFormat="1" ht="73.5" customHeight="1">
      <c r="A10" s="438"/>
      <c r="B10" s="326" t="s">
        <v>631</v>
      </c>
      <c r="C10" s="327" t="s">
        <v>704</v>
      </c>
      <c r="D10" s="325" t="s">
        <v>2</v>
      </c>
      <c r="E10" s="321"/>
      <c r="F10" s="322"/>
      <c r="G10" s="322"/>
      <c r="H10" s="322"/>
      <c r="I10" s="486"/>
      <c r="J10" s="486"/>
      <c r="K10" s="486"/>
      <c r="L10" s="487"/>
      <c r="M10" s="321"/>
      <c r="N10" s="322"/>
      <c r="O10" s="322"/>
      <c r="P10" s="322"/>
      <c r="Q10" s="485"/>
      <c r="R10" s="484"/>
      <c r="S10" s="485"/>
      <c r="T10" s="492"/>
      <c r="U10" s="321"/>
      <c r="V10" s="322"/>
      <c r="W10" s="322"/>
      <c r="X10" s="322"/>
      <c r="Y10" s="486"/>
      <c r="Z10" s="486"/>
      <c r="AA10" s="486"/>
      <c r="AB10" s="487"/>
      <c r="AC10" s="439"/>
    </row>
    <row r="11" spans="1:29" s="146" customFormat="1" ht="54.95" customHeight="1">
      <c r="A11" s="397"/>
      <c r="B11" s="398"/>
      <c r="C11" s="398"/>
      <c r="D11" s="398"/>
      <c r="E11" s="398"/>
      <c r="F11" s="398"/>
      <c r="G11" s="398"/>
      <c r="H11" s="398"/>
      <c r="I11" s="398"/>
      <c r="J11" s="398"/>
      <c r="K11" s="398"/>
      <c r="L11" s="398"/>
      <c r="M11" s="398"/>
      <c r="N11" s="398"/>
      <c r="O11" s="398"/>
      <c r="P11" s="398"/>
      <c r="Q11" s="398"/>
      <c r="R11" s="398"/>
      <c r="S11" s="398"/>
      <c r="T11" s="398"/>
      <c r="U11" s="398"/>
      <c r="V11" s="398"/>
      <c r="W11" s="398"/>
      <c r="X11" s="398"/>
      <c r="Y11" s="398"/>
      <c r="Z11" s="398"/>
      <c r="AA11" s="398"/>
      <c r="AB11" s="398"/>
      <c r="AC11" s="399"/>
    </row>
  </sheetData>
  <mergeCells count="58">
    <mergeCell ref="S4:T4"/>
    <mergeCell ref="M2:T2"/>
    <mergeCell ref="M5:T5"/>
    <mergeCell ref="M8:T8"/>
    <mergeCell ref="Q9:R9"/>
    <mergeCell ref="S9:T9"/>
    <mergeCell ref="I10:J10"/>
    <mergeCell ref="K10:L10"/>
    <mergeCell ref="Y10:Z10"/>
    <mergeCell ref="AA10:AB10"/>
    <mergeCell ref="B8:B9"/>
    <mergeCell ref="C8:C9"/>
    <mergeCell ref="D8:D9"/>
    <mergeCell ref="E8:L8"/>
    <mergeCell ref="U8:AB8"/>
    <mergeCell ref="I9:J9"/>
    <mergeCell ref="K9:L9"/>
    <mergeCell ref="Y9:Z9"/>
    <mergeCell ref="AA9:AB9"/>
    <mergeCell ref="S10:T10"/>
    <mergeCell ref="Q10:R10"/>
    <mergeCell ref="B5:B6"/>
    <mergeCell ref="C5:C6"/>
    <mergeCell ref="D5:D6"/>
    <mergeCell ref="E5:L5"/>
    <mergeCell ref="U5:AB5"/>
    <mergeCell ref="AA3:AB3"/>
    <mergeCell ref="E4:F4"/>
    <mergeCell ref="G4:H4"/>
    <mergeCell ref="I4:J4"/>
    <mergeCell ref="K4:L4"/>
    <mergeCell ref="U4:V4"/>
    <mergeCell ref="W4:X4"/>
    <mergeCell ref="Y4:Z4"/>
    <mergeCell ref="AA4:AB4"/>
    <mergeCell ref="M3:N3"/>
    <mergeCell ref="O3:P3"/>
    <mergeCell ref="Q3:R3"/>
    <mergeCell ref="S3:T3"/>
    <mergeCell ref="M4:N4"/>
    <mergeCell ref="O4:P4"/>
    <mergeCell ref="Q4:R4"/>
    <mergeCell ref="A11:AC11"/>
    <mergeCell ref="A2:A10"/>
    <mergeCell ref="AC2:AC10"/>
    <mergeCell ref="A1:AC1"/>
    <mergeCell ref="B2:B3"/>
    <mergeCell ref="C2:C3"/>
    <mergeCell ref="D2:D3"/>
    <mergeCell ref="E2:L2"/>
    <mergeCell ref="U2:AB2"/>
    <mergeCell ref="E3:F3"/>
    <mergeCell ref="G3:H3"/>
    <mergeCell ref="I3:J3"/>
    <mergeCell ref="K3:L3"/>
    <mergeCell ref="U3:V3"/>
    <mergeCell ref="W3:X3"/>
    <mergeCell ref="Y3:Z3"/>
  </mergeCells>
  <printOptions headings="1"/>
  <pageMargins left="0.7" right="0.7" top="0.75" bottom="0.75" header="0.3" footer="0.3"/>
  <pageSetup paperSize="9" scale="80" orientation="landscape" r:id="rId1"/>
  <rowBreaks count="1" manualBreakCount="1">
    <brk id="10" max="16383" man="1"/>
  </rowBreaks>
  <ignoredErrors>
    <ignoredError sqref="B7 B4 B10"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0"/>
  <sheetViews>
    <sheetView showGridLines="0" rightToLeft="1" workbookViewId="0">
      <pane xSplit="11" topLeftCell="L1" activePane="topRight" state="frozen"/>
      <selection pane="topRight" sqref="A1:K1"/>
    </sheetView>
  </sheetViews>
  <sheetFormatPr defaultColWidth="10.6640625" defaultRowHeight="21.75"/>
  <cols>
    <col min="1" max="1" width="8.1640625" style="21" customWidth="1"/>
    <col min="2" max="2" width="27" style="21" customWidth="1"/>
    <col min="3" max="11" width="15.83203125" style="21" customWidth="1"/>
    <col min="12" max="12" width="11.6640625" style="19" customWidth="1"/>
    <col min="13" max="13" width="11.6640625" style="20" customWidth="1"/>
    <col min="14" max="16384" width="10.6640625" style="21"/>
  </cols>
  <sheetData>
    <row r="1" spans="1:24" s="3" customFormat="1" ht="54" customHeight="1">
      <c r="A1" s="355" t="s">
        <v>49</v>
      </c>
      <c r="B1" s="355"/>
      <c r="C1" s="355"/>
      <c r="D1" s="355"/>
      <c r="E1" s="355"/>
      <c r="F1" s="355"/>
      <c r="G1" s="355"/>
      <c r="H1" s="355"/>
      <c r="I1" s="355"/>
      <c r="J1" s="355"/>
      <c r="K1" s="355"/>
      <c r="L1" s="14"/>
      <c r="M1" s="2"/>
      <c r="N1" s="15"/>
      <c r="O1" s="15"/>
      <c r="P1" s="15"/>
      <c r="Q1" s="15"/>
      <c r="R1" s="15"/>
      <c r="S1" s="15"/>
      <c r="T1" s="15"/>
      <c r="U1" s="15"/>
      <c r="V1" s="15"/>
      <c r="W1" s="6"/>
      <c r="X1" s="2"/>
    </row>
    <row r="2" spans="1:24" s="3" customFormat="1" ht="23.25" customHeight="1">
      <c r="A2" s="356" t="s">
        <v>0</v>
      </c>
      <c r="B2" s="356" t="s">
        <v>11</v>
      </c>
      <c r="C2" s="356" t="s">
        <v>2</v>
      </c>
      <c r="D2" s="356" t="s">
        <v>12</v>
      </c>
      <c r="E2" s="356" t="s">
        <v>13</v>
      </c>
      <c r="F2" s="356"/>
      <c r="G2" s="356"/>
      <c r="H2" s="356"/>
      <c r="I2" s="356"/>
      <c r="J2" s="356"/>
      <c r="K2" s="356"/>
      <c r="L2" s="14"/>
      <c r="M2" s="2"/>
      <c r="N2" s="15"/>
      <c r="O2" s="15"/>
      <c r="P2" s="15"/>
      <c r="Q2" s="15"/>
      <c r="R2" s="15"/>
      <c r="S2" s="15"/>
      <c r="T2" s="15"/>
      <c r="U2" s="15"/>
      <c r="V2" s="15"/>
      <c r="W2" s="6"/>
      <c r="X2" s="2"/>
    </row>
    <row r="3" spans="1:24" s="3" customFormat="1" ht="20.25" customHeight="1">
      <c r="A3" s="356"/>
      <c r="B3" s="356"/>
      <c r="C3" s="356"/>
      <c r="D3" s="356"/>
      <c r="E3" s="181">
        <v>1395</v>
      </c>
      <c r="F3" s="181">
        <v>1396</v>
      </c>
      <c r="G3" s="181">
        <v>1397</v>
      </c>
      <c r="H3" s="181">
        <v>1398</v>
      </c>
      <c r="I3" s="181">
        <v>1399</v>
      </c>
      <c r="J3" s="337">
        <v>1400</v>
      </c>
      <c r="K3" s="181">
        <v>1401</v>
      </c>
      <c r="L3" s="14"/>
      <c r="M3" s="2"/>
      <c r="N3" s="15"/>
      <c r="O3" s="15"/>
      <c r="P3" s="15"/>
      <c r="Q3" s="15"/>
      <c r="R3" s="15"/>
      <c r="S3" s="15"/>
      <c r="T3" s="15"/>
      <c r="U3" s="15"/>
      <c r="V3" s="15"/>
      <c r="W3" s="6"/>
      <c r="X3" s="2"/>
    </row>
    <row r="4" spans="1:24" s="3" customFormat="1" ht="30" customHeight="1">
      <c r="A4" s="186">
        <v>1</v>
      </c>
      <c r="B4" s="183" t="s">
        <v>14</v>
      </c>
      <c r="C4" s="183" t="s">
        <v>6</v>
      </c>
      <c r="D4" s="184">
        <v>2.281027278617985</v>
      </c>
      <c r="E4" s="184">
        <v>2.5091300064797837</v>
      </c>
      <c r="F4" s="184">
        <v>2.6345865068037728</v>
      </c>
      <c r="G4" s="184">
        <v>2.7663158321439614</v>
      </c>
      <c r="H4" s="184">
        <v>2.9046316237511594</v>
      </c>
      <c r="I4" s="184">
        <v>3.0498632049387173</v>
      </c>
      <c r="J4" s="184">
        <v>3.2023563651856533</v>
      </c>
      <c r="K4" s="184">
        <v>3.3624741834449359</v>
      </c>
      <c r="L4" s="16"/>
      <c r="M4" s="2"/>
      <c r="N4" s="15"/>
      <c r="O4" s="15"/>
      <c r="P4" s="15"/>
      <c r="Q4" s="15"/>
      <c r="R4" s="15"/>
      <c r="S4" s="15"/>
      <c r="T4" s="15"/>
      <c r="U4" s="15"/>
      <c r="V4" s="15"/>
      <c r="W4" s="6"/>
      <c r="X4" s="2"/>
    </row>
    <row r="5" spans="1:24" s="3" customFormat="1" ht="30" customHeight="1">
      <c r="A5" s="186">
        <v>2</v>
      </c>
      <c r="B5" s="183" t="s">
        <v>15</v>
      </c>
      <c r="C5" s="183" t="s">
        <v>6</v>
      </c>
      <c r="D5" s="184">
        <v>2.5298858305223937</v>
      </c>
      <c r="E5" s="184">
        <v>2.7828744135746333</v>
      </c>
      <c r="F5" s="184">
        <v>2.9220181342533649</v>
      </c>
      <c r="G5" s="184">
        <v>3.0681190409660331</v>
      </c>
      <c r="H5" s="184">
        <v>3.2215249930143344</v>
      </c>
      <c r="I5" s="184">
        <v>3.3826012426650514</v>
      </c>
      <c r="J5" s="184">
        <v>3.5517313047983041</v>
      </c>
      <c r="K5" s="184">
        <v>3.7293178700382197</v>
      </c>
      <c r="L5" s="16"/>
      <c r="M5" s="2"/>
      <c r="N5" s="15"/>
      <c r="O5" s="15"/>
      <c r="P5" s="15"/>
      <c r="Q5" s="15"/>
      <c r="R5" s="15"/>
      <c r="S5" s="15"/>
      <c r="T5" s="15"/>
      <c r="U5" s="15"/>
      <c r="V5" s="15"/>
      <c r="W5" s="6"/>
      <c r="X5" s="2"/>
    </row>
    <row r="6" spans="1:24" s="3" customFormat="1" ht="30" customHeight="1">
      <c r="A6" s="186">
        <v>3</v>
      </c>
      <c r="B6" s="183" t="s">
        <v>16</v>
      </c>
      <c r="C6" s="183" t="s">
        <v>6</v>
      </c>
      <c r="D6" s="184">
        <v>0.6696425385379694</v>
      </c>
      <c r="E6" s="184">
        <v>0.73660679239176641</v>
      </c>
      <c r="F6" s="184">
        <v>0.77343713201135478</v>
      </c>
      <c r="G6" s="184">
        <v>0.81210898861192249</v>
      </c>
      <c r="H6" s="184">
        <v>0.85271443804251856</v>
      </c>
      <c r="I6" s="184">
        <v>0.8953501599446444</v>
      </c>
      <c r="J6" s="184">
        <v>0.94011766794187646</v>
      </c>
      <c r="K6" s="184">
        <v>0.98712355133897012</v>
      </c>
      <c r="L6" s="16"/>
      <c r="M6" s="2"/>
      <c r="N6" s="15"/>
      <c r="O6" s="15"/>
      <c r="P6" s="15"/>
      <c r="Q6" s="15"/>
      <c r="R6" s="15"/>
      <c r="S6" s="15"/>
      <c r="T6" s="15"/>
      <c r="U6" s="15"/>
      <c r="V6" s="15"/>
      <c r="W6" s="6"/>
      <c r="X6" s="2"/>
    </row>
    <row r="7" spans="1:24" s="3" customFormat="1" ht="30" customHeight="1">
      <c r="A7" s="186">
        <v>4</v>
      </c>
      <c r="B7" s="183" t="s">
        <v>17</v>
      </c>
      <c r="C7" s="183" t="s">
        <v>6</v>
      </c>
      <c r="D7" s="184">
        <v>3.404665083876222</v>
      </c>
      <c r="E7" s="184">
        <v>3.7451315922638448</v>
      </c>
      <c r="F7" s="184">
        <v>3.932388171877037</v>
      </c>
      <c r="G7" s="184">
        <v>4.1290075804708888</v>
      </c>
      <c r="H7" s="184">
        <v>4.3354579594944331</v>
      </c>
      <c r="I7" s="184">
        <v>4.5522308574691541</v>
      </c>
      <c r="J7" s="184">
        <v>4.779842400342611</v>
      </c>
      <c r="K7" s="184">
        <v>5.0188345203597411</v>
      </c>
      <c r="L7" s="16"/>
      <c r="M7" s="2"/>
      <c r="N7" s="15"/>
      <c r="O7" s="15"/>
      <c r="P7" s="15"/>
      <c r="Q7" s="15"/>
      <c r="R7" s="15"/>
      <c r="S7" s="15"/>
      <c r="T7" s="15"/>
      <c r="U7" s="15"/>
      <c r="V7" s="15"/>
      <c r="W7" s="6"/>
      <c r="X7" s="2"/>
    </row>
    <row r="8" spans="1:24" s="3" customFormat="1" ht="30" customHeight="1">
      <c r="A8" s="186">
        <v>5</v>
      </c>
      <c r="B8" s="183" t="s">
        <v>18</v>
      </c>
      <c r="C8" s="183" t="s">
        <v>6</v>
      </c>
      <c r="D8" s="184">
        <v>2.1895134107809064</v>
      </c>
      <c r="E8" s="184">
        <v>2.4084647518589972</v>
      </c>
      <c r="F8" s="184">
        <v>2.5288879894519471</v>
      </c>
      <c r="G8" s="184">
        <v>2.6553323889245442</v>
      </c>
      <c r="H8" s="184">
        <v>2.7880990083707715</v>
      </c>
      <c r="I8" s="184">
        <v>2.9275039587893099</v>
      </c>
      <c r="J8" s="184">
        <v>3.0738791567287755</v>
      </c>
      <c r="K8" s="184">
        <v>3.2275731145652147</v>
      </c>
      <c r="L8" s="16"/>
      <c r="M8" s="2"/>
      <c r="N8" s="15"/>
      <c r="O8" s="15"/>
      <c r="P8" s="15"/>
      <c r="Q8" s="15"/>
      <c r="R8" s="15"/>
      <c r="S8" s="15"/>
      <c r="T8" s="15"/>
      <c r="U8" s="15"/>
      <c r="V8" s="15"/>
      <c r="W8" s="6"/>
      <c r="X8" s="2"/>
    </row>
    <row r="9" spans="1:24" s="3" customFormat="1" ht="30" customHeight="1">
      <c r="A9" s="186">
        <v>6</v>
      </c>
      <c r="B9" s="183" t="s">
        <v>19</v>
      </c>
      <c r="C9" s="183" t="s">
        <v>6</v>
      </c>
      <c r="D9" s="184">
        <v>1.7140370918728638</v>
      </c>
      <c r="E9" s="184">
        <v>1.8854408010601504</v>
      </c>
      <c r="F9" s="184">
        <v>1.9797128411131579</v>
      </c>
      <c r="G9" s="184">
        <v>2.0786984831688158</v>
      </c>
      <c r="H9" s="184">
        <v>2.1826334073272564</v>
      </c>
      <c r="I9" s="184">
        <v>2.2917650776936194</v>
      </c>
      <c r="J9" s="184">
        <v>2.4063533315783006</v>
      </c>
      <c r="K9" s="184">
        <v>2.5266709981572157</v>
      </c>
      <c r="L9" s="16"/>
      <c r="M9" s="2"/>
      <c r="N9" s="15"/>
      <c r="O9" s="15"/>
      <c r="P9" s="15"/>
      <c r="Q9" s="15"/>
      <c r="R9" s="15"/>
      <c r="S9" s="15"/>
      <c r="T9" s="15"/>
      <c r="U9" s="15"/>
      <c r="V9" s="15"/>
      <c r="W9" s="6"/>
      <c r="X9" s="2"/>
    </row>
    <row r="10" spans="1:24" s="3" customFormat="1" ht="30" customHeight="1">
      <c r="A10" s="186">
        <v>7</v>
      </c>
      <c r="B10" s="183" t="s">
        <v>20</v>
      </c>
      <c r="C10" s="183" t="s">
        <v>6</v>
      </c>
      <c r="D10" s="184">
        <v>0.60338052603817904</v>
      </c>
      <c r="E10" s="184">
        <v>0.66371857864199701</v>
      </c>
      <c r="F10" s="184">
        <v>0.69690450757409683</v>
      </c>
      <c r="G10" s="184">
        <v>0.73174973295280166</v>
      </c>
      <c r="H10" s="184">
        <v>0.76833721960044177</v>
      </c>
      <c r="I10" s="184">
        <v>0.80675408058046383</v>
      </c>
      <c r="J10" s="184">
        <v>0.84709178460948709</v>
      </c>
      <c r="K10" s="184">
        <v>0.8894463738399615</v>
      </c>
      <c r="L10" s="16"/>
      <c r="M10" s="2"/>
      <c r="N10" s="15"/>
      <c r="O10" s="15"/>
      <c r="P10" s="15"/>
      <c r="Q10" s="15"/>
      <c r="R10" s="15"/>
      <c r="S10" s="15"/>
      <c r="T10" s="15"/>
      <c r="U10" s="15"/>
      <c r="V10" s="15"/>
      <c r="W10" s="6"/>
      <c r="X10" s="2"/>
    </row>
    <row r="11" spans="1:24" s="3" customFormat="1" ht="30" customHeight="1">
      <c r="A11" s="186">
        <v>8</v>
      </c>
      <c r="B11" s="183" t="s">
        <v>21</v>
      </c>
      <c r="C11" s="183" t="s">
        <v>6</v>
      </c>
      <c r="D11" s="184">
        <v>4.5161796114653319</v>
      </c>
      <c r="E11" s="184">
        <v>4.9677975726118655</v>
      </c>
      <c r="F11" s="184">
        <v>5.2161874512424591</v>
      </c>
      <c r="G11" s="184">
        <v>5.4769968238045816</v>
      </c>
      <c r="H11" s="184">
        <v>5.7508466649948105</v>
      </c>
      <c r="I11" s="184">
        <v>6.0383889982445513</v>
      </c>
      <c r="J11" s="184">
        <v>6.3403084481567795</v>
      </c>
      <c r="K11" s="184">
        <v>6.6573238705646185</v>
      </c>
      <c r="L11" s="16"/>
      <c r="M11" s="2"/>
      <c r="N11" s="15"/>
      <c r="O11" s="15"/>
      <c r="P11" s="15"/>
      <c r="Q11" s="15"/>
      <c r="R11" s="15"/>
      <c r="S11" s="15"/>
      <c r="T11" s="15"/>
      <c r="U11" s="15"/>
      <c r="V11" s="15"/>
      <c r="W11" s="6"/>
      <c r="X11" s="2"/>
    </row>
    <row r="12" spans="1:24" s="3" customFormat="1" ht="30" customHeight="1">
      <c r="A12" s="186">
        <v>9</v>
      </c>
      <c r="B12" s="183" t="s">
        <v>22</v>
      </c>
      <c r="C12" s="183" t="s">
        <v>6</v>
      </c>
      <c r="D12" s="184">
        <v>0.42993512437614223</v>
      </c>
      <c r="E12" s="184">
        <v>0.47292863681375652</v>
      </c>
      <c r="F12" s="184">
        <v>0.49657506865444434</v>
      </c>
      <c r="G12" s="184">
        <v>0.52140382208716651</v>
      </c>
      <c r="H12" s="184">
        <v>0.54747401319152489</v>
      </c>
      <c r="I12" s="184">
        <v>0.57484771385110112</v>
      </c>
      <c r="J12" s="184">
        <v>0.60359009954365617</v>
      </c>
      <c r="K12" s="184">
        <v>0.63376960452083897</v>
      </c>
      <c r="L12" s="16"/>
      <c r="M12" s="2"/>
      <c r="N12" s="15"/>
      <c r="O12" s="15"/>
      <c r="P12" s="15"/>
      <c r="Q12" s="15"/>
      <c r="R12" s="15"/>
      <c r="S12" s="15"/>
      <c r="T12" s="15"/>
      <c r="U12" s="15"/>
      <c r="V12" s="15"/>
      <c r="W12" s="6"/>
      <c r="X12" s="2"/>
    </row>
    <row r="13" spans="1:24" s="3" customFormat="1" ht="30" customHeight="1">
      <c r="A13" s="186">
        <v>10</v>
      </c>
      <c r="B13" s="183" t="s">
        <v>23</v>
      </c>
      <c r="C13" s="183" t="s">
        <v>6</v>
      </c>
      <c r="D13" s="184">
        <v>0.9845716289901697</v>
      </c>
      <c r="E13" s="184">
        <v>1.0830287918891868</v>
      </c>
      <c r="F13" s="184">
        <v>1.1371802314836461</v>
      </c>
      <c r="G13" s="184">
        <v>1.1940392430578284</v>
      </c>
      <c r="H13" s="184">
        <v>1.2537412052107197</v>
      </c>
      <c r="I13" s="184">
        <v>1.3164282654712558</v>
      </c>
      <c r="J13" s="184">
        <v>1.3822496787448186</v>
      </c>
      <c r="K13" s="184">
        <v>1.4513621626820596</v>
      </c>
      <c r="L13" s="16"/>
      <c r="M13" s="2"/>
      <c r="N13" s="15"/>
      <c r="O13" s="15"/>
      <c r="P13" s="15"/>
      <c r="Q13" s="15"/>
      <c r="R13" s="15"/>
      <c r="S13" s="15"/>
      <c r="T13" s="15"/>
      <c r="U13" s="15"/>
      <c r="V13" s="15"/>
      <c r="W13" s="6"/>
      <c r="X13" s="2"/>
    </row>
    <row r="14" spans="1:24" s="3" customFormat="1" ht="30" customHeight="1">
      <c r="A14" s="186">
        <v>11</v>
      </c>
      <c r="B14" s="183" t="s">
        <v>24</v>
      </c>
      <c r="C14" s="183" t="s">
        <v>6</v>
      </c>
      <c r="D14" s="184">
        <v>1.6154263306094194</v>
      </c>
      <c r="E14" s="184">
        <v>1.7769689636703614</v>
      </c>
      <c r="F14" s="184">
        <v>1.8658174118538795</v>
      </c>
      <c r="G14" s="184">
        <v>1.9591082824465735</v>
      </c>
      <c r="H14" s="184">
        <v>2.057063696568902</v>
      </c>
      <c r="I14" s="184">
        <v>2.1599168813973471</v>
      </c>
      <c r="J14" s="184">
        <v>2.2679127254672147</v>
      </c>
      <c r="K14" s="184">
        <v>2.3813083617405755</v>
      </c>
      <c r="L14" s="16"/>
      <c r="M14" s="2"/>
      <c r="N14" s="15"/>
      <c r="O14" s="15"/>
      <c r="P14" s="15"/>
      <c r="Q14" s="15"/>
      <c r="R14" s="15"/>
      <c r="S14" s="15"/>
      <c r="T14" s="15"/>
      <c r="U14" s="15"/>
      <c r="V14" s="15"/>
      <c r="W14" s="6"/>
      <c r="X14" s="2"/>
    </row>
    <row r="15" spans="1:24" s="3" customFormat="1" ht="30" customHeight="1">
      <c r="A15" s="186">
        <v>12</v>
      </c>
      <c r="B15" s="183" t="s">
        <v>25</v>
      </c>
      <c r="C15" s="183" t="s">
        <v>6</v>
      </c>
      <c r="D15" s="184">
        <v>5.2719040116692097</v>
      </c>
      <c r="E15" s="184">
        <v>5.7990944128361308</v>
      </c>
      <c r="F15" s="184">
        <v>6.0890491334779382</v>
      </c>
      <c r="G15" s="184">
        <v>6.3935015901518346</v>
      </c>
      <c r="H15" s="184">
        <v>6.7131766696594255</v>
      </c>
      <c r="I15" s="184">
        <v>7.0488355031423975</v>
      </c>
      <c r="J15" s="184">
        <v>7.401277278299518</v>
      </c>
      <c r="K15" s="184">
        <v>7.771341142214494</v>
      </c>
      <c r="L15" s="16"/>
      <c r="M15" s="2"/>
      <c r="N15" s="15"/>
      <c r="O15" s="15"/>
      <c r="P15" s="15"/>
      <c r="Q15" s="15"/>
      <c r="R15" s="15"/>
      <c r="S15" s="15"/>
      <c r="T15" s="15"/>
      <c r="U15" s="15"/>
      <c r="V15" s="15"/>
      <c r="W15" s="6"/>
      <c r="X15" s="2"/>
    </row>
    <row r="16" spans="1:24" s="3" customFormat="1" ht="30" customHeight="1">
      <c r="A16" s="186">
        <v>13</v>
      </c>
      <c r="B16" s="183" t="s">
        <v>26</v>
      </c>
      <c r="C16" s="183" t="s">
        <v>6</v>
      </c>
      <c r="D16" s="184">
        <v>0.73050470201488038</v>
      </c>
      <c r="E16" s="184">
        <v>0.80355517221636852</v>
      </c>
      <c r="F16" s="184">
        <v>0.84373293082718692</v>
      </c>
      <c r="G16" s="184">
        <v>0.88591957736854621</v>
      </c>
      <c r="H16" s="184">
        <v>0.9302155562369735</v>
      </c>
      <c r="I16" s="184">
        <v>0.97672633404882214</v>
      </c>
      <c r="J16" s="184">
        <v>1.0255626507512632</v>
      </c>
      <c r="K16" s="184">
        <v>1.0768407832888263</v>
      </c>
      <c r="L16" s="16"/>
      <c r="M16" s="2"/>
      <c r="N16" s="15"/>
      <c r="O16" s="15"/>
      <c r="P16" s="15"/>
      <c r="Q16" s="15"/>
      <c r="R16" s="15"/>
      <c r="S16" s="15"/>
      <c r="T16" s="15"/>
      <c r="U16" s="15"/>
      <c r="V16" s="15"/>
      <c r="W16" s="6"/>
      <c r="X16" s="2"/>
    </row>
    <row r="17" spans="1:24" s="3" customFormat="1" ht="30" customHeight="1">
      <c r="A17" s="186">
        <v>14</v>
      </c>
      <c r="B17" s="183" t="s">
        <v>27</v>
      </c>
      <c r="C17" s="183" t="s">
        <v>6</v>
      </c>
      <c r="D17" s="184">
        <v>3.1548172604165612</v>
      </c>
      <c r="E17" s="184">
        <v>3.4702989864582179</v>
      </c>
      <c r="F17" s="184">
        <v>3.6438139357811288</v>
      </c>
      <c r="G17" s="184">
        <v>3.8260046325701853</v>
      </c>
      <c r="H17" s="184">
        <v>4.0173048641986941</v>
      </c>
      <c r="I17" s="184">
        <v>4.2181701074086284</v>
      </c>
      <c r="J17" s="184">
        <v>4.4290786127790591</v>
      </c>
      <c r="K17" s="184">
        <v>4.6505325434180111</v>
      </c>
      <c r="L17" s="16"/>
      <c r="M17" s="2"/>
      <c r="N17" s="15"/>
      <c r="O17" s="15"/>
      <c r="P17" s="15"/>
      <c r="Q17" s="15"/>
      <c r="R17" s="15"/>
      <c r="S17" s="15"/>
      <c r="T17" s="15"/>
      <c r="U17" s="15"/>
      <c r="V17" s="15"/>
      <c r="W17" s="6"/>
      <c r="X17" s="2"/>
    </row>
    <row r="18" spans="1:24" s="3" customFormat="1" ht="30" customHeight="1">
      <c r="A18" s="186">
        <v>15</v>
      </c>
      <c r="B18" s="183" t="s">
        <v>28</v>
      </c>
      <c r="C18" s="183" t="s">
        <v>6</v>
      </c>
      <c r="D18" s="184">
        <v>1.5472334413993161</v>
      </c>
      <c r="E18" s="184">
        <v>1.7019567855392479</v>
      </c>
      <c r="F18" s="184">
        <v>1.7870546248162102</v>
      </c>
      <c r="G18" s="184">
        <v>1.8764073560570209</v>
      </c>
      <c r="H18" s="184">
        <v>1.9702277238598718</v>
      </c>
      <c r="I18" s="184">
        <v>2.0687391100528654</v>
      </c>
      <c r="J18" s="184">
        <v>2.1721760655555089</v>
      </c>
      <c r="K18" s="184">
        <v>2.2807848688332846</v>
      </c>
      <c r="L18" s="16"/>
      <c r="M18" s="2"/>
      <c r="N18" s="15"/>
      <c r="O18" s="15"/>
      <c r="P18" s="15"/>
      <c r="Q18" s="15"/>
      <c r="R18" s="15"/>
      <c r="S18" s="15"/>
      <c r="T18" s="15"/>
      <c r="U18" s="15"/>
      <c r="V18" s="15"/>
      <c r="W18" s="6"/>
      <c r="X18" s="2"/>
    </row>
    <row r="19" spans="1:24" s="3" customFormat="1" ht="30" customHeight="1">
      <c r="A19" s="186">
        <v>16</v>
      </c>
      <c r="B19" s="183" t="s">
        <v>29</v>
      </c>
      <c r="C19" s="183" t="s">
        <v>6</v>
      </c>
      <c r="D19" s="184">
        <v>1.4979643800667535</v>
      </c>
      <c r="E19" s="184">
        <v>1.6477608180734289</v>
      </c>
      <c r="F19" s="184">
        <v>1.7301488589771004</v>
      </c>
      <c r="G19" s="184">
        <v>1.8166563019259554</v>
      </c>
      <c r="H19" s="184">
        <v>1.907489117022253</v>
      </c>
      <c r="I19" s="184">
        <v>2.0028635728733657</v>
      </c>
      <c r="J19" s="184">
        <v>2.1030067515170341</v>
      </c>
      <c r="K19" s="184">
        <v>2.2081570890928859</v>
      </c>
      <c r="L19" s="16"/>
      <c r="M19" s="2"/>
      <c r="N19" s="15"/>
      <c r="O19" s="15"/>
      <c r="P19" s="15"/>
      <c r="Q19" s="15"/>
      <c r="R19" s="15"/>
      <c r="S19" s="15"/>
      <c r="T19" s="15"/>
      <c r="U19" s="15"/>
      <c r="V19" s="15"/>
      <c r="W19" s="6"/>
      <c r="X19" s="2"/>
    </row>
    <row r="20" spans="1:24" s="3" customFormat="1" ht="30" customHeight="1">
      <c r="A20" s="186">
        <v>17</v>
      </c>
      <c r="B20" s="183" t="s">
        <v>30</v>
      </c>
      <c r="C20" s="183" t="s">
        <v>6</v>
      </c>
      <c r="D20" s="184">
        <v>1.0771441776509298</v>
      </c>
      <c r="E20" s="184">
        <v>1.1848585954160229</v>
      </c>
      <c r="F20" s="184">
        <v>1.2441015251868239</v>
      </c>
      <c r="G20" s="184">
        <v>1.3063066014461651</v>
      </c>
      <c r="H20" s="184">
        <v>1.3716219315184734</v>
      </c>
      <c r="I20" s="184">
        <v>1.4402030280943969</v>
      </c>
      <c r="J20" s="184">
        <v>1.5122131794991165</v>
      </c>
      <c r="K20" s="184">
        <v>1.5878238384740719</v>
      </c>
      <c r="L20" s="16"/>
      <c r="M20" s="2"/>
      <c r="N20" s="15"/>
      <c r="O20" s="15"/>
      <c r="P20" s="15"/>
      <c r="Q20" s="15"/>
      <c r="R20" s="15"/>
      <c r="S20" s="15"/>
      <c r="T20" s="15"/>
      <c r="U20" s="15"/>
      <c r="V20" s="15"/>
      <c r="W20" s="6"/>
      <c r="X20" s="2"/>
    </row>
    <row r="21" spans="1:24" s="3" customFormat="1" ht="30" customHeight="1">
      <c r="A21" s="186">
        <v>18</v>
      </c>
      <c r="B21" s="183" t="s">
        <v>31</v>
      </c>
      <c r="C21" s="183" t="s">
        <v>6</v>
      </c>
      <c r="D21" s="184">
        <v>2.9451177223402878</v>
      </c>
      <c r="E21" s="184">
        <v>3.2396294945743169</v>
      </c>
      <c r="F21" s="184">
        <v>3.4016109693030327</v>
      </c>
      <c r="G21" s="184">
        <v>3.5716915177681843</v>
      </c>
      <c r="H21" s="184">
        <v>3.7502760936565931</v>
      </c>
      <c r="I21" s="184">
        <v>3.9377898983394228</v>
      </c>
      <c r="J21" s="184">
        <v>4.1346793932563939</v>
      </c>
      <c r="K21" s="184">
        <v>4.341413362919214</v>
      </c>
      <c r="L21" s="16"/>
      <c r="M21" s="2"/>
      <c r="N21" s="15"/>
      <c r="O21" s="15"/>
      <c r="P21" s="15"/>
      <c r="Q21" s="15"/>
      <c r="R21" s="15"/>
      <c r="S21" s="15"/>
      <c r="T21" s="15"/>
      <c r="U21" s="15"/>
      <c r="V21" s="15"/>
      <c r="W21" s="6"/>
      <c r="X21" s="2"/>
    </row>
    <row r="22" spans="1:24" s="3" customFormat="1" ht="30" customHeight="1">
      <c r="A22" s="186">
        <v>19</v>
      </c>
      <c r="B22" s="183" t="s">
        <v>32</v>
      </c>
      <c r="C22" s="183" t="s">
        <v>6</v>
      </c>
      <c r="D22" s="184">
        <v>1.620304492362715</v>
      </c>
      <c r="E22" s="184">
        <v>1.7823349415989866</v>
      </c>
      <c r="F22" s="184">
        <v>1.8714516886789361</v>
      </c>
      <c r="G22" s="184">
        <v>1.9650242731128826</v>
      </c>
      <c r="H22" s="184">
        <v>2.0632754867685268</v>
      </c>
      <c r="I22" s="184">
        <v>2.166439261106953</v>
      </c>
      <c r="J22" s="184">
        <v>2.2747612241623001</v>
      </c>
      <c r="K22" s="184">
        <v>2.3884992853704148</v>
      </c>
      <c r="L22" s="16"/>
      <c r="M22" s="2"/>
      <c r="N22" s="15"/>
      <c r="O22" s="15"/>
      <c r="P22" s="15"/>
      <c r="Q22" s="15"/>
      <c r="R22" s="15"/>
      <c r="S22" s="15"/>
      <c r="T22" s="15"/>
      <c r="U22" s="15"/>
      <c r="V22" s="15"/>
      <c r="W22" s="6"/>
      <c r="X22" s="2"/>
    </row>
    <row r="23" spans="1:24" s="3" customFormat="1" ht="30" customHeight="1">
      <c r="A23" s="186">
        <v>20</v>
      </c>
      <c r="B23" s="183" t="s">
        <v>33</v>
      </c>
      <c r="C23" s="183" t="s">
        <v>6</v>
      </c>
      <c r="D23" s="184">
        <v>1.681899155293646</v>
      </c>
      <c r="E23" s="184">
        <v>1.8500890708230107</v>
      </c>
      <c r="F23" s="184">
        <v>1.9425935243641612</v>
      </c>
      <c r="G23" s="184">
        <v>2.0397232005823693</v>
      </c>
      <c r="H23" s="184">
        <v>2.1417093606114879</v>
      </c>
      <c r="I23" s="184">
        <v>2.2487948286420623</v>
      </c>
      <c r="J23" s="184">
        <v>2.3612345700741653</v>
      </c>
      <c r="K23" s="184">
        <v>2.4792962985778737</v>
      </c>
      <c r="L23" s="16"/>
      <c r="M23" s="2"/>
      <c r="N23" s="15"/>
      <c r="O23" s="15"/>
      <c r="P23" s="15"/>
      <c r="Q23" s="15"/>
      <c r="R23" s="15"/>
      <c r="S23" s="15"/>
      <c r="T23" s="15"/>
      <c r="U23" s="15"/>
      <c r="V23" s="15"/>
      <c r="W23" s="6"/>
      <c r="X23" s="2"/>
    </row>
    <row r="24" spans="1:24" s="3" customFormat="1" ht="30" customHeight="1">
      <c r="A24" s="186">
        <v>21</v>
      </c>
      <c r="B24" s="183" t="s">
        <v>34</v>
      </c>
      <c r="C24" s="183" t="s">
        <v>6</v>
      </c>
      <c r="D24" s="184">
        <v>1.1551521888014233</v>
      </c>
      <c r="E24" s="184">
        <v>1.2706674076815658</v>
      </c>
      <c r="F24" s="184">
        <v>1.334200778065644</v>
      </c>
      <c r="G24" s="184">
        <v>1.4009108169689262</v>
      </c>
      <c r="H24" s="184">
        <v>1.4709563578173726</v>
      </c>
      <c r="I24" s="184">
        <v>1.5445041757082412</v>
      </c>
      <c r="J24" s="184">
        <v>1.6217293844936533</v>
      </c>
      <c r="K24" s="184">
        <v>1.702815853718336</v>
      </c>
      <c r="L24" s="16"/>
      <c r="M24" s="2"/>
      <c r="N24" s="15"/>
      <c r="O24" s="15"/>
      <c r="P24" s="15"/>
      <c r="Q24" s="15"/>
      <c r="R24" s="15"/>
      <c r="S24" s="15"/>
      <c r="T24" s="15"/>
      <c r="U24" s="15"/>
      <c r="V24" s="15"/>
      <c r="W24" s="6"/>
      <c r="X24" s="2"/>
    </row>
    <row r="25" spans="1:24" s="3" customFormat="1" ht="30" customHeight="1">
      <c r="A25" s="186">
        <v>22</v>
      </c>
      <c r="B25" s="183" t="s">
        <v>35</v>
      </c>
      <c r="C25" s="183" t="s">
        <v>6</v>
      </c>
      <c r="D25" s="184">
        <v>1.4618177330056281</v>
      </c>
      <c r="E25" s="184">
        <v>1.6079995063061909</v>
      </c>
      <c r="F25" s="184">
        <v>1.6883994816215007</v>
      </c>
      <c r="G25" s="184">
        <v>1.7728194557025756</v>
      </c>
      <c r="H25" s="184">
        <v>1.8614604284877043</v>
      </c>
      <c r="I25" s="184">
        <v>1.9545334499120894</v>
      </c>
      <c r="J25" s="184">
        <v>2.0522601224076942</v>
      </c>
      <c r="K25" s="184">
        <v>2.1548731285280791</v>
      </c>
      <c r="L25" s="17"/>
      <c r="M25" s="2"/>
      <c r="N25" s="15"/>
      <c r="O25" s="15"/>
      <c r="P25" s="15"/>
      <c r="Q25" s="15"/>
      <c r="R25" s="15"/>
      <c r="S25" s="15"/>
      <c r="T25" s="15"/>
      <c r="U25" s="15"/>
      <c r="V25" s="15"/>
      <c r="W25" s="6"/>
      <c r="X25" s="2"/>
    </row>
    <row r="26" spans="1:24" s="3" customFormat="1" ht="30" customHeight="1">
      <c r="A26" s="186">
        <v>23</v>
      </c>
      <c r="B26" s="183" t="s">
        <v>36</v>
      </c>
      <c r="C26" s="183" t="s">
        <v>6</v>
      </c>
      <c r="D26" s="184">
        <v>2.1824291339321915</v>
      </c>
      <c r="E26" s="184">
        <v>2.4006720473254108</v>
      </c>
      <c r="F26" s="184">
        <v>2.5207056496916813</v>
      </c>
      <c r="G26" s="184">
        <v>2.6467409321762654</v>
      </c>
      <c r="H26" s="184">
        <v>2.7790779787850788</v>
      </c>
      <c r="I26" s="184">
        <v>2.9180318777243324</v>
      </c>
      <c r="J26" s="184">
        <v>3.0639334716105484</v>
      </c>
      <c r="K26" s="184">
        <v>3.2171301451910752</v>
      </c>
      <c r="L26" s="15"/>
      <c r="M26" s="2"/>
      <c r="N26" s="15"/>
      <c r="O26" s="15"/>
      <c r="P26" s="15"/>
      <c r="Q26" s="15"/>
      <c r="R26" s="15"/>
      <c r="S26" s="15"/>
      <c r="T26" s="15"/>
      <c r="U26" s="15"/>
      <c r="V26" s="15"/>
      <c r="W26" s="6"/>
      <c r="X26" s="2"/>
    </row>
    <row r="27" spans="1:24" s="3" customFormat="1" ht="30" customHeight="1">
      <c r="A27" s="186">
        <v>24</v>
      </c>
      <c r="B27" s="183" t="s">
        <v>37</v>
      </c>
      <c r="C27" s="183" t="s">
        <v>6</v>
      </c>
      <c r="D27" s="184">
        <v>0.68869101926084053</v>
      </c>
      <c r="E27" s="184">
        <v>0.75756012118692462</v>
      </c>
      <c r="F27" s="184">
        <v>0.79543812724627094</v>
      </c>
      <c r="G27" s="184">
        <v>0.83521003360858448</v>
      </c>
      <c r="H27" s="184">
        <v>0.87697053528901359</v>
      </c>
      <c r="I27" s="184">
        <v>0.92081906205346431</v>
      </c>
      <c r="J27" s="184">
        <v>0.96686001515613762</v>
      </c>
      <c r="K27" s="184">
        <v>1.0152030159139445</v>
      </c>
      <c r="L27" s="16"/>
      <c r="M27" s="2"/>
      <c r="N27" s="15"/>
      <c r="O27" s="15"/>
      <c r="P27" s="15"/>
      <c r="Q27" s="15"/>
      <c r="R27" s="15"/>
      <c r="S27" s="15"/>
      <c r="T27" s="15"/>
      <c r="U27" s="15"/>
      <c r="V27" s="15"/>
      <c r="W27" s="6"/>
      <c r="X27" s="2"/>
    </row>
    <row r="28" spans="1:24" s="3" customFormat="1" ht="30" customHeight="1">
      <c r="A28" s="186">
        <v>25</v>
      </c>
      <c r="B28" s="183" t="s">
        <v>38</v>
      </c>
      <c r="C28" s="183" t="s">
        <v>6</v>
      </c>
      <c r="D28" s="184">
        <v>3.3751046186531948</v>
      </c>
      <c r="E28" s="184">
        <v>3.7126150805185145</v>
      </c>
      <c r="F28" s="184">
        <v>3.8982458345444404</v>
      </c>
      <c r="G28" s="184">
        <v>4.0931581262716623</v>
      </c>
      <c r="H28" s="184">
        <v>4.2978160325852448</v>
      </c>
      <c r="I28" s="184">
        <v>4.5127068342145069</v>
      </c>
      <c r="J28" s="184">
        <v>4.7383421759252329</v>
      </c>
      <c r="K28" s="184">
        <v>4.9752592847214947</v>
      </c>
      <c r="L28" s="16"/>
      <c r="M28" s="2"/>
      <c r="N28" s="15"/>
      <c r="O28" s="15"/>
      <c r="P28" s="15"/>
      <c r="Q28" s="15"/>
      <c r="R28" s="15"/>
      <c r="S28" s="15"/>
      <c r="T28" s="15"/>
      <c r="U28" s="15"/>
      <c r="V28" s="15"/>
      <c r="W28" s="6"/>
      <c r="X28" s="2"/>
    </row>
    <row r="29" spans="1:24" s="3" customFormat="1" ht="30" customHeight="1">
      <c r="A29" s="186">
        <v>26</v>
      </c>
      <c r="B29" s="183" t="s">
        <v>39</v>
      </c>
      <c r="C29" s="183" t="s">
        <v>6</v>
      </c>
      <c r="D29" s="184">
        <v>2.0391745480521082</v>
      </c>
      <c r="E29" s="184">
        <v>2.2430920028573191</v>
      </c>
      <c r="F29" s="184">
        <v>2.3552466030001851</v>
      </c>
      <c r="G29" s="184">
        <v>2.4730089331501941</v>
      </c>
      <c r="H29" s="184">
        <v>2.5966593798077038</v>
      </c>
      <c r="I29" s="184">
        <v>2.726492348798089</v>
      </c>
      <c r="J29" s="184">
        <v>2.8628169662379936</v>
      </c>
      <c r="K29" s="184">
        <v>3.0059578145498933</v>
      </c>
      <c r="L29" s="16"/>
      <c r="M29" s="2"/>
      <c r="N29" s="15"/>
      <c r="O29" s="15"/>
      <c r="P29" s="15"/>
      <c r="Q29" s="15"/>
      <c r="R29" s="15"/>
      <c r="S29" s="15"/>
      <c r="T29" s="15"/>
      <c r="U29" s="15"/>
      <c r="V29" s="15"/>
      <c r="W29" s="6"/>
      <c r="X29" s="2"/>
    </row>
    <row r="30" spans="1:24" s="3" customFormat="1" ht="30" customHeight="1">
      <c r="A30" s="186">
        <v>27</v>
      </c>
      <c r="B30" s="183" t="s">
        <v>40</v>
      </c>
      <c r="C30" s="183" t="s">
        <v>6</v>
      </c>
      <c r="D30" s="184">
        <v>2.6859153047492521</v>
      </c>
      <c r="E30" s="184">
        <v>2.9545068352241777</v>
      </c>
      <c r="F30" s="184">
        <v>3.1022321769853867</v>
      </c>
      <c r="G30" s="184">
        <v>3.2573437858346557</v>
      </c>
      <c r="H30" s="184">
        <v>3.4202109751263885</v>
      </c>
      <c r="I30" s="184">
        <v>3.5912215238827079</v>
      </c>
      <c r="J30" s="184">
        <v>3.7707826000768434</v>
      </c>
      <c r="K30" s="184">
        <v>3.9593217300806858</v>
      </c>
      <c r="L30" s="15"/>
      <c r="M30" s="2"/>
      <c r="N30" s="15"/>
      <c r="O30" s="15"/>
      <c r="P30" s="15"/>
      <c r="Q30" s="15"/>
      <c r="R30" s="15"/>
      <c r="S30" s="15"/>
      <c r="T30" s="15"/>
      <c r="U30" s="15"/>
      <c r="V30" s="15"/>
      <c r="W30" s="6"/>
      <c r="X30" s="2"/>
    </row>
    <row r="31" spans="1:24" s="3" customFormat="1" ht="30" customHeight="1">
      <c r="A31" s="186">
        <v>28</v>
      </c>
      <c r="B31" s="183" t="s">
        <v>41</v>
      </c>
      <c r="C31" s="183" t="s">
        <v>6</v>
      </c>
      <c r="D31" s="184">
        <v>4.2127057746471275</v>
      </c>
      <c r="E31" s="184">
        <v>4.6339763521118407</v>
      </c>
      <c r="F31" s="184">
        <v>4.8656751697174325</v>
      </c>
      <c r="G31" s="184">
        <v>5.1089589282033039</v>
      </c>
      <c r="H31" s="184">
        <v>5.3644068746134685</v>
      </c>
      <c r="I31" s="184">
        <v>5.6326272183441422</v>
      </c>
      <c r="J31" s="184">
        <v>5.9142585792613493</v>
      </c>
      <c r="K31" s="184">
        <v>6.2099715082244167</v>
      </c>
      <c r="L31" s="18"/>
      <c r="M31" s="2"/>
      <c r="N31" s="15"/>
      <c r="O31" s="15"/>
      <c r="P31" s="15"/>
      <c r="Q31" s="15"/>
      <c r="R31" s="15"/>
      <c r="S31" s="15"/>
      <c r="T31" s="15"/>
      <c r="U31" s="15"/>
      <c r="V31" s="15"/>
      <c r="W31" s="6"/>
      <c r="X31" s="2"/>
    </row>
    <row r="32" spans="1:24" s="3" customFormat="1" ht="30" customHeight="1">
      <c r="A32" s="186">
        <v>29</v>
      </c>
      <c r="B32" s="183" t="s">
        <v>42</v>
      </c>
      <c r="C32" s="183" t="s">
        <v>6</v>
      </c>
      <c r="D32" s="184">
        <v>2.1547598472972771</v>
      </c>
      <c r="E32" s="184">
        <v>2.3702358320270052</v>
      </c>
      <c r="F32" s="184">
        <v>2.4887476236283552</v>
      </c>
      <c r="G32" s="184">
        <v>2.6131850048097731</v>
      </c>
      <c r="H32" s="184">
        <v>2.7438442550502615</v>
      </c>
      <c r="I32" s="184">
        <v>2.8810364678027747</v>
      </c>
      <c r="J32" s="184">
        <v>3.0250882911929136</v>
      </c>
      <c r="K32" s="184">
        <v>3.1763427057525595</v>
      </c>
      <c r="L32" s="15"/>
      <c r="M32" s="2"/>
      <c r="N32" s="15"/>
      <c r="O32" s="15"/>
      <c r="P32" s="15"/>
      <c r="Q32" s="15"/>
      <c r="R32" s="15"/>
      <c r="S32" s="15"/>
      <c r="T32" s="15"/>
      <c r="U32" s="15"/>
      <c r="V32" s="15"/>
      <c r="W32" s="6"/>
      <c r="X32" s="2"/>
    </row>
    <row r="33" spans="1:24" s="3" customFormat="1" ht="30" customHeight="1">
      <c r="A33" s="186">
        <v>30</v>
      </c>
      <c r="B33" s="183" t="s">
        <v>43</v>
      </c>
      <c r="C33" s="183" t="s">
        <v>6</v>
      </c>
      <c r="D33" s="184">
        <v>1.0786622115793616</v>
      </c>
      <c r="E33" s="184">
        <v>1.1865284327372978</v>
      </c>
      <c r="F33" s="184">
        <v>1.2458548543741628</v>
      </c>
      <c r="G33" s="184">
        <v>1.3081475970928709</v>
      </c>
      <c r="H33" s="184">
        <v>1.3735549769475144</v>
      </c>
      <c r="I33" s="184">
        <v>1.4422327257948901</v>
      </c>
      <c r="J33" s="184">
        <v>1.5143443620846346</v>
      </c>
      <c r="K33" s="184">
        <v>1.5900615801888665</v>
      </c>
      <c r="L33" s="16"/>
      <c r="M33" s="2"/>
      <c r="N33" s="15"/>
      <c r="O33" s="15"/>
      <c r="P33" s="15"/>
      <c r="Q33" s="15"/>
      <c r="R33" s="15"/>
      <c r="S33" s="15"/>
      <c r="T33" s="15"/>
      <c r="U33" s="15"/>
      <c r="V33" s="15"/>
      <c r="W33" s="6"/>
      <c r="X33" s="2"/>
    </row>
    <row r="34" spans="1:24" s="3" customFormat="1" ht="30" customHeight="1">
      <c r="A34" s="186">
        <v>31</v>
      </c>
      <c r="B34" s="183" t="s">
        <v>44</v>
      </c>
      <c r="C34" s="183" t="s">
        <v>6</v>
      </c>
      <c r="D34" s="184">
        <v>1.2604717705903958</v>
      </c>
      <c r="E34" s="184">
        <v>1.3865189476494355</v>
      </c>
      <c r="F34" s="184">
        <v>1.4558448950319072</v>
      </c>
      <c r="G34" s="184">
        <v>1.5286371397835026</v>
      </c>
      <c r="H34" s="184">
        <v>1.6050689967726777</v>
      </c>
      <c r="I34" s="184">
        <v>1.6853224466113115</v>
      </c>
      <c r="J34" s="184">
        <v>1.7695885689418771</v>
      </c>
      <c r="K34" s="184">
        <v>1.8580679973889711</v>
      </c>
      <c r="L34" s="16"/>
      <c r="M34" s="2"/>
      <c r="N34" s="15"/>
      <c r="O34" s="15"/>
      <c r="P34" s="15"/>
      <c r="Q34" s="15"/>
      <c r="R34" s="15"/>
      <c r="S34" s="15"/>
      <c r="T34" s="15"/>
      <c r="U34" s="15"/>
      <c r="V34" s="15"/>
      <c r="W34" s="6"/>
      <c r="X34" s="2"/>
    </row>
    <row r="35" spans="1:24" s="3" customFormat="1" ht="30" customHeight="1">
      <c r="A35" s="186">
        <v>32</v>
      </c>
      <c r="B35" s="183" t="s">
        <v>45</v>
      </c>
      <c r="C35" s="183" t="s">
        <v>6</v>
      </c>
      <c r="D35" s="184">
        <v>1.4522943589842794</v>
      </c>
      <c r="E35" s="184">
        <v>1.5975237948827075</v>
      </c>
      <c r="F35" s="184">
        <v>1.6773999846268428</v>
      </c>
      <c r="G35" s="184">
        <v>1.7612699838581851</v>
      </c>
      <c r="H35" s="184">
        <v>1.8493334830510941</v>
      </c>
      <c r="I35" s="184">
        <v>1.941800157203649</v>
      </c>
      <c r="J35" s="184">
        <v>2.0388901650638314</v>
      </c>
      <c r="K35" s="184">
        <v>2.1408346733170229</v>
      </c>
      <c r="L35" s="16"/>
      <c r="M35" s="2"/>
      <c r="N35" s="15"/>
      <c r="O35" s="15"/>
      <c r="P35" s="15"/>
      <c r="Q35" s="15"/>
      <c r="R35" s="15"/>
      <c r="S35" s="15"/>
      <c r="T35" s="15"/>
      <c r="U35" s="15"/>
      <c r="V35" s="15"/>
      <c r="W35" s="6"/>
      <c r="X35" s="2"/>
    </row>
    <row r="36" spans="1:24" s="3" customFormat="1" ht="30" customHeight="1">
      <c r="A36" s="360" t="s">
        <v>46</v>
      </c>
      <c r="B36" s="360"/>
      <c r="C36" s="183" t="s">
        <v>47</v>
      </c>
      <c r="D36" s="184">
        <f>SUM(D4:D35)</f>
        <v>64.212332308454961</v>
      </c>
      <c r="E36" s="184">
        <f t="shared" ref="E36:I36" si="0">SUM(E4:E35)</f>
        <v>70.633565539300477</v>
      </c>
      <c r="F36" s="184">
        <f t="shared" si="0"/>
        <v>74.165243816265487</v>
      </c>
      <c r="G36" s="184">
        <f t="shared" si="0"/>
        <v>77.87350600707876</v>
      </c>
      <c r="H36" s="184">
        <f t="shared" si="0"/>
        <v>81.767181307432693</v>
      </c>
      <c r="I36" s="184">
        <f t="shared" si="0"/>
        <v>85.855540372804313</v>
      </c>
      <c r="J36" s="184">
        <v>90.148317391444536</v>
      </c>
      <c r="K36" s="184">
        <v>94.655733261016763</v>
      </c>
      <c r="L36" s="16"/>
      <c r="M36" s="2"/>
      <c r="N36" s="15"/>
      <c r="O36" s="15"/>
      <c r="P36" s="15"/>
      <c r="Q36" s="15"/>
      <c r="R36" s="15"/>
      <c r="S36" s="15"/>
      <c r="T36" s="15"/>
      <c r="U36" s="15"/>
      <c r="V36" s="15"/>
      <c r="W36" s="6"/>
      <c r="X36" s="2"/>
    </row>
    <row r="37" spans="1:24" ht="30" customHeight="1">
      <c r="A37" s="357"/>
      <c r="B37" s="358"/>
      <c r="C37" s="358"/>
      <c r="D37" s="358"/>
      <c r="E37" s="358"/>
      <c r="F37" s="358"/>
      <c r="G37" s="358"/>
      <c r="H37" s="358"/>
      <c r="I37" s="358"/>
      <c r="J37" s="358"/>
      <c r="K37" s="359"/>
    </row>
    <row r="38" spans="1:24" s="22" customFormat="1" hidden="1"/>
    <row r="39" spans="1:24">
      <c r="D39" s="23"/>
      <c r="E39" s="23"/>
      <c r="F39" s="23"/>
      <c r="G39" s="23"/>
      <c r="H39" s="23"/>
      <c r="I39" s="23"/>
      <c r="J39" s="23"/>
      <c r="K39" s="23"/>
    </row>
    <row r="40" spans="1:24">
      <c r="B40" s="23"/>
      <c r="C40" s="23"/>
      <c r="D40" s="23"/>
      <c r="E40" s="23"/>
      <c r="F40" s="23"/>
      <c r="G40" s="23"/>
      <c r="H40" s="23"/>
      <c r="I40" s="23"/>
      <c r="J40" s="23"/>
      <c r="K40" s="23"/>
    </row>
  </sheetData>
  <mergeCells count="8">
    <mergeCell ref="A1:K1"/>
    <mergeCell ref="E2:K2"/>
    <mergeCell ref="A37:K37"/>
    <mergeCell ref="A36:B36"/>
    <mergeCell ref="A2:A3"/>
    <mergeCell ref="B2:B3"/>
    <mergeCell ref="C2:C3"/>
    <mergeCell ref="D2:D3"/>
  </mergeCells>
  <pageMargins left="0.7" right="0.7" top="0.75" bottom="0.75" header="0.3" footer="0.3"/>
  <pageSetup paperSize="9" scale="68" orientation="portrait" r:id="rId1"/>
  <rowBreaks count="1" manualBreakCount="1">
    <brk id="27" max="13" man="1"/>
  </rowBreaks>
  <ignoredErrors>
    <ignoredError sqref="E36:I36" formulaRange="1"/>
  </ignoredErrors>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rightToLeft="1" workbookViewId="0">
      <selection sqref="A1:C1"/>
    </sheetView>
  </sheetViews>
  <sheetFormatPr defaultRowHeight="27"/>
  <cols>
    <col min="1" max="1" width="18.33203125" style="60" customWidth="1"/>
    <col min="2" max="2" width="126.6640625" style="60" customWidth="1"/>
    <col min="3" max="3" width="18.33203125" style="60" customWidth="1"/>
    <col min="4" max="16384" width="9.33203125" style="60"/>
  </cols>
  <sheetData>
    <row r="1" spans="1:3" ht="59.25" customHeight="1">
      <c r="A1" s="387" t="s">
        <v>618</v>
      </c>
      <c r="B1" s="387"/>
      <c r="C1" s="387"/>
    </row>
    <row r="2" spans="1:3" s="62" customFormat="1" ht="26.1" customHeight="1">
      <c r="A2" s="388"/>
      <c r="B2" s="61" t="str">
        <f>'[30]سیاست ها و برنامه ها '!A1</f>
        <v xml:space="preserve"> اهداف کلی 3:  ارتقاء كيفيت و بهداشت واحدهای تولیدی، توزیعی، عرضه و خدمات مرتبط با دامپزشکی</v>
      </c>
      <c r="C2" s="389"/>
    </row>
    <row r="3" spans="1:3" s="62" customFormat="1" ht="26.1" customHeight="1">
      <c r="A3" s="388"/>
      <c r="B3" s="63" t="str">
        <f>'[30]سیاست ها و برنامه ها '!A2</f>
        <v xml:space="preserve"> راهبرد 11-3: استقرار سامانه های GMP, HACCP  و .... در واحدهای تولیدی، توزیعی، عرضه و خدمات مرتبط با دامپزشکی</v>
      </c>
      <c r="C3" s="389"/>
    </row>
    <row r="4" spans="1:3" s="62" customFormat="1" ht="26.1" customHeight="1">
      <c r="A4" s="388"/>
      <c r="B4" s="64" t="str">
        <f>CONCATENATE([30]روکش!A1,"",[30]روکش!B1)</f>
        <v xml:space="preserve"> عنوان هدف کمی: افزايش تعداد واحدهاي داراي گواهي هاي استقرار سامانه هاي GMP, HACCP  و ....</v>
      </c>
      <c r="C4" s="389"/>
    </row>
    <row r="5" spans="1:3" s="62" customFormat="1" ht="26.1" customHeight="1">
      <c r="A5" s="388"/>
      <c r="B5" s="64" t="str">
        <f>CONCATENATE([30]روکش!A2,"  ",[30]روکش!B2,"                         ",[30]روکش!C2,"   ",[30]روکش!D2)</f>
        <v>عنوان سنجه عملکرد:   مورد بازرسی                         شاخص سنجه:   1.5</v>
      </c>
      <c r="C5" s="389"/>
    </row>
    <row r="6" spans="1:3" s="62" customFormat="1" ht="26.1" customHeight="1">
      <c r="A6" s="388"/>
      <c r="B6" s="64" t="s">
        <v>559</v>
      </c>
      <c r="C6" s="389"/>
    </row>
    <row r="7" spans="1:3" s="62" customFormat="1" ht="26.1" customHeight="1">
      <c r="A7" s="388"/>
      <c r="B7" s="64" t="s">
        <v>593</v>
      </c>
      <c r="C7" s="389"/>
    </row>
    <row r="8" spans="1:3" ht="26.1" customHeight="1">
      <c r="A8" s="388"/>
      <c r="B8" s="65" t="s">
        <v>594</v>
      </c>
      <c r="C8" s="389"/>
    </row>
    <row r="9" spans="1:3" s="66" customFormat="1" ht="26.1" customHeight="1">
      <c r="A9" s="388"/>
      <c r="B9" s="63" t="s">
        <v>595</v>
      </c>
      <c r="C9" s="389"/>
    </row>
    <row r="10" spans="1:3" s="68" customFormat="1" ht="26.1" customHeight="1">
      <c r="A10" s="388"/>
      <c r="B10" s="67" t="s">
        <v>596</v>
      </c>
      <c r="C10" s="389"/>
    </row>
    <row r="11" spans="1:3" s="68" customFormat="1" ht="26.1" customHeight="1">
      <c r="A11" s="388"/>
      <c r="B11" s="67" t="s">
        <v>597</v>
      </c>
      <c r="C11" s="389"/>
    </row>
    <row r="12" spans="1:3" s="68" customFormat="1" ht="26.1" customHeight="1">
      <c r="A12" s="388"/>
      <c r="B12" s="67" t="s">
        <v>598</v>
      </c>
      <c r="C12" s="389"/>
    </row>
    <row r="13" spans="1:3" s="68" customFormat="1" ht="26.1" customHeight="1">
      <c r="A13" s="388"/>
      <c r="B13" s="67" t="s">
        <v>599</v>
      </c>
      <c r="C13" s="389"/>
    </row>
    <row r="14" spans="1:3" s="68" customFormat="1" ht="26.1" customHeight="1">
      <c r="A14" s="388"/>
      <c r="B14" s="67" t="s">
        <v>600</v>
      </c>
      <c r="C14" s="389"/>
    </row>
    <row r="15" spans="1:3" ht="26.1" customHeight="1">
      <c r="A15" s="388"/>
      <c r="B15" s="69" t="s">
        <v>601</v>
      </c>
      <c r="C15" s="389"/>
    </row>
    <row r="16" spans="1:3" ht="26.1" customHeight="1">
      <c r="A16" s="388"/>
      <c r="B16" s="71" t="s">
        <v>602</v>
      </c>
      <c r="C16" s="389"/>
    </row>
    <row r="17" spans="1:3" ht="60.75" customHeight="1">
      <c r="A17" s="390"/>
      <c r="B17" s="390"/>
      <c r="C17" s="390"/>
    </row>
    <row r="18" spans="1:3" ht="22.5" customHeight="1"/>
    <row r="19" spans="1:3" ht="22.5" customHeight="1"/>
  </sheetData>
  <dataConsolidate/>
  <mergeCells count="4">
    <mergeCell ref="A1:C1"/>
    <mergeCell ref="A2:A16"/>
    <mergeCell ref="C2:C16"/>
    <mergeCell ref="A17:C17"/>
  </mergeCells>
  <pageMargins left="0.7" right="0.7" top="0.75" bottom="0.75" header="0.3" footer="0.3"/>
  <pageSetup paperSize="9"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3"/>
  <sheetViews>
    <sheetView showGridLines="0" rightToLeft="1" workbookViewId="0">
      <pane xSplit="21" topLeftCell="V1" activePane="topRight" state="frozen"/>
      <selection pane="topRight" sqref="A1:U1"/>
    </sheetView>
  </sheetViews>
  <sheetFormatPr defaultColWidth="25" defaultRowHeight="54.95" customHeight="1"/>
  <cols>
    <col min="1" max="2" width="12.1640625" style="147" customWidth="1"/>
    <col min="3" max="3" width="28.33203125" style="147" customWidth="1"/>
    <col min="4" max="4" width="11.5" style="147" customWidth="1"/>
    <col min="5" max="20" width="5.5" style="147" customWidth="1"/>
    <col min="21" max="21" width="11.5" style="147" customWidth="1"/>
    <col min="22" max="23" width="5.5" style="147" customWidth="1"/>
    <col min="24" max="16384" width="25" style="147"/>
  </cols>
  <sheetData>
    <row r="1" spans="1:21" s="170" customFormat="1" ht="33" customHeight="1">
      <c r="A1" s="405" t="s">
        <v>1077</v>
      </c>
      <c r="B1" s="405"/>
      <c r="C1" s="405"/>
      <c r="D1" s="405"/>
      <c r="E1" s="405"/>
      <c r="F1" s="405"/>
      <c r="G1" s="405"/>
      <c r="H1" s="405"/>
      <c r="I1" s="405"/>
      <c r="J1" s="405"/>
      <c r="K1" s="405"/>
      <c r="L1" s="405"/>
      <c r="M1" s="405"/>
      <c r="N1" s="405"/>
      <c r="O1" s="405"/>
      <c r="P1" s="405"/>
      <c r="Q1" s="405"/>
      <c r="R1" s="405"/>
      <c r="S1" s="405"/>
      <c r="T1" s="405"/>
      <c r="U1" s="405"/>
    </row>
    <row r="2" spans="1:21" s="170" customFormat="1" ht="33" customHeight="1">
      <c r="A2" s="405" t="s">
        <v>1078</v>
      </c>
      <c r="B2" s="405"/>
      <c r="C2" s="405"/>
      <c r="D2" s="405"/>
      <c r="E2" s="405"/>
      <c r="F2" s="405"/>
      <c r="G2" s="405"/>
      <c r="H2" s="405"/>
      <c r="I2" s="405"/>
      <c r="J2" s="405"/>
      <c r="K2" s="405"/>
      <c r="L2" s="405"/>
      <c r="M2" s="405"/>
      <c r="N2" s="405"/>
      <c r="O2" s="405"/>
      <c r="P2" s="405"/>
      <c r="Q2" s="405"/>
      <c r="R2" s="405"/>
      <c r="S2" s="405"/>
      <c r="T2" s="405"/>
      <c r="U2" s="405"/>
    </row>
    <row r="3" spans="1:21" s="170" customFormat="1" ht="33" customHeight="1">
      <c r="A3" s="405" t="s">
        <v>1079</v>
      </c>
      <c r="B3" s="405"/>
      <c r="C3" s="405"/>
      <c r="D3" s="405"/>
      <c r="E3" s="405"/>
      <c r="F3" s="405"/>
      <c r="G3" s="405"/>
      <c r="H3" s="405"/>
      <c r="I3" s="405"/>
      <c r="J3" s="405"/>
      <c r="K3" s="405"/>
      <c r="L3" s="405"/>
      <c r="M3" s="405"/>
      <c r="N3" s="405"/>
      <c r="O3" s="405"/>
      <c r="P3" s="405"/>
      <c r="Q3" s="405"/>
      <c r="R3" s="405"/>
      <c r="S3" s="405"/>
      <c r="T3" s="405"/>
      <c r="U3" s="405"/>
    </row>
    <row r="4" spans="1:21" s="170" customFormat="1" ht="33" customHeight="1">
      <c r="A4" s="405" t="s">
        <v>737</v>
      </c>
      <c r="B4" s="405"/>
      <c r="C4" s="405"/>
      <c r="D4" s="405"/>
      <c r="E4" s="405"/>
      <c r="F4" s="405"/>
      <c r="G4" s="405"/>
      <c r="H4" s="405"/>
      <c r="I4" s="405"/>
      <c r="J4" s="405"/>
      <c r="K4" s="405"/>
      <c r="L4" s="405"/>
      <c r="M4" s="405"/>
      <c r="N4" s="405"/>
      <c r="O4" s="405"/>
      <c r="P4" s="405"/>
      <c r="Q4" s="405"/>
      <c r="R4" s="405"/>
      <c r="S4" s="405"/>
      <c r="T4" s="405"/>
      <c r="U4" s="405"/>
    </row>
    <row r="5" spans="1:21" s="171" customFormat="1" ht="24.95" customHeight="1">
      <c r="A5" s="404" t="s">
        <v>1080</v>
      </c>
      <c r="B5" s="404"/>
      <c r="C5" s="404"/>
      <c r="D5" s="404"/>
      <c r="E5" s="404"/>
      <c r="F5" s="404"/>
      <c r="G5" s="404"/>
      <c r="H5" s="404"/>
      <c r="I5" s="404"/>
      <c r="J5" s="404"/>
      <c r="K5" s="404"/>
      <c r="L5" s="404"/>
      <c r="M5" s="404"/>
      <c r="N5" s="404"/>
      <c r="O5" s="404"/>
      <c r="P5" s="404"/>
      <c r="Q5" s="404"/>
      <c r="R5" s="404"/>
      <c r="S5" s="404"/>
      <c r="T5" s="404"/>
      <c r="U5" s="404"/>
    </row>
    <row r="6" spans="1:21" s="171" customFormat="1" ht="24.95" customHeight="1">
      <c r="A6" s="404" t="s">
        <v>1081</v>
      </c>
      <c r="B6" s="404"/>
      <c r="C6" s="404"/>
      <c r="D6" s="404"/>
      <c r="E6" s="404"/>
      <c r="F6" s="404"/>
      <c r="G6" s="404"/>
      <c r="H6" s="404"/>
      <c r="I6" s="404"/>
      <c r="J6" s="404"/>
      <c r="K6" s="404"/>
      <c r="L6" s="404"/>
      <c r="M6" s="404"/>
      <c r="N6" s="404"/>
      <c r="O6" s="404"/>
      <c r="P6" s="404"/>
      <c r="Q6" s="404"/>
      <c r="R6" s="404"/>
      <c r="S6" s="404"/>
      <c r="T6" s="404"/>
      <c r="U6" s="404"/>
    </row>
    <row r="7" spans="1:21" s="171" customFormat="1" ht="24.95" customHeight="1">
      <c r="A7" s="404" t="s">
        <v>1082</v>
      </c>
      <c r="B7" s="404"/>
      <c r="C7" s="404"/>
      <c r="D7" s="404"/>
      <c r="E7" s="404"/>
      <c r="F7" s="404"/>
      <c r="G7" s="404"/>
      <c r="H7" s="404"/>
      <c r="I7" s="404"/>
      <c r="J7" s="404"/>
      <c r="K7" s="404"/>
      <c r="L7" s="404"/>
      <c r="M7" s="404"/>
      <c r="N7" s="404"/>
      <c r="O7" s="404"/>
      <c r="P7" s="404"/>
      <c r="Q7" s="404"/>
      <c r="R7" s="404"/>
      <c r="S7" s="404"/>
      <c r="T7" s="404"/>
      <c r="U7" s="404"/>
    </row>
    <row r="8" spans="1:21" s="171" customFormat="1" ht="24.95" customHeight="1">
      <c r="A8" s="404" t="s">
        <v>1083</v>
      </c>
      <c r="B8" s="404"/>
      <c r="C8" s="404"/>
      <c r="D8" s="404"/>
      <c r="E8" s="404"/>
      <c r="F8" s="404"/>
      <c r="G8" s="404"/>
      <c r="H8" s="404"/>
      <c r="I8" s="404"/>
      <c r="J8" s="404"/>
      <c r="K8" s="404"/>
      <c r="L8" s="404"/>
      <c r="M8" s="404"/>
      <c r="N8" s="404"/>
      <c r="O8" s="404"/>
      <c r="P8" s="404"/>
      <c r="Q8" s="404"/>
      <c r="R8" s="404"/>
      <c r="S8" s="404"/>
      <c r="T8" s="404"/>
      <c r="U8" s="404"/>
    </row>
    <row r="9" spans="1:21" s="171" customFormat="1" ht="24.95" customHeight="1">
      <c r="A9" s="404" t="s">
        <v>1084</v>
      </c>
      <c r="B9" s="404"/>
      <c r="C9" s="404"/>
      <c r="D9" s="404"/>
      <c r="E9" s="404"/>
      <c r="F9" s="404"/>
      <c r="G9" s="404"/>
      <c r="H9" s="404"/>
      <c r="I9" s="404"/>
      <c r="J9" s="404"/>
      <c r="K9" s="404"/>
      <c r="L9" s="404"/>
      <c r="M9" s="404"/>
      <c r="N9" s="404"/>
      <c r="O9" s="404"/>
      <c r="P9" s="404"/>
      <c r="Q9" s="404"/>
      <c r="R9" s="404"/>
      <c r="S9" s="404"/>
      <c r="T9" s="404"/>
      <c r="U9" s="404"/>
    </row>
    <row r="10" spans="1:21" s="171" customFormat="1" ht="24.95" customHeight="1">
      <c r="A10" s="404" t="s">
        <v>1085</v>
      </c>
      <c r="B10" s="404"/>
      <c r="C10" s="404"/>
      <c r="D10" s="404"/>
      <c r="E10" s="404"/>
      <c r="F10" s="404"/>
      <c r="G10" s="404"/>
      <c r="H10" s="404"/>
      <c r="I10" s="404"/>
      <c r="J10" s="404"/>
      <c r="K10" s="404"/>
      <c r="L10" s="404"/>
      <c r="M10" s="404"/>
      <c r="N10" s="404"/>
      <c r="O10" s="404"/>
      <c r="P10" s="404"/>
      <c r="Q10" s="404"/>
      <c r="R10" s="404"/>
      <c r="S10" s="404"/>
      <c r="T10" s="404"/>
      <c r="U10" s="404"/>
    </row>
    <row r="11" spans="1:21" s="171" customFormat="1" ht="38.1" customHeight="1">
      <c r="A11" s="404" t="s">
        <v>1086</v>
      </c>
      <c r="B11" s="404"/>
      <c r="C11" s="404"/>
      <c r="D11" s="404"/>
      <c r="E11" s="404"/>
      <c r="F11" s="404"/>
      <c r="G11" s="404"/>
      <c r="H11" s="404"/>
      <c r="I11" s="404"/>
      <c r="J11" s="404"/>
      <c r="K11" s="404"/>
      <c r="L11" s="404"/>
      <c r="M11" s="404"/>
      <c r="N11" s="404"/>
      <c r="O11" s="404"/>
      <c r="P11" s="404"/>
      <c r="Q11" s="404"/>
      <c r="R11" s="404"/>
      <c r="S11" s="404"/>
      <c r="T11" s="404"/>
      <c r="U11" s="404"/>
    </row>
    <row r="12" spans="1:21" s="171" customFormat="1" ht="24.95" customHeight="1">
      <c r="A12" s="404" t="s">
        <v>1087</v>
      </c>
      <c r="B12" s="404"/>
      <c r="C12" s="404"/>
      <c r="D12" s="404"/>
      <c r="E12" s="404"/>
      <c r="F12" s="404"/>
      <c r="G12" s="404"/>
      <c r="H12" s="404"/>
      <c r="I12" s="404"/>
      <c r="J12" s="404"/>
      <c r="K12" s="404"/>
      <c r="L12" s="404"/>
      <c r="M12" s="404"/>
      <c r="N12" s="404"/>
      <c r="O12" s="404"/>
      <c r="P12" s="404"/>
      <c r="Q12" s="404"/>
      <c r="R12" s="404"/>
      <c r="S12" s="404"/>
      <c r="T12" s="404"/>
      <c r="U12" s="404"/>
    </row>
    <row r="13" spans="1:21" s="171" customFormat="1" ht="24.95" customHeight="1">
      <c r="A13" s="404" t="s">
        <v>1088</v>
      </c>
      <c r="B13" s="404"/>
      <c r="C13" s="404"/>
      <c r="D13" s="404"/>
      <c r="E13" s="404"/>
      <c r="F13" s="404"/>
      <c r="G13" s="404"/>
      <c r="H13" s="404"/>
      <c r="I13" s="404"/>
      <c r="J13" s="404"/>
      <c r="K13" s="404"/>
      <c r="L13" s="404"/>
      <c r="M13" s="404"/>
      <c r="N13" s="404"/>
      <c r="O13" s="404"/>
      <c r="P13" s="404"/>
      <c r="Q13" s="404"/>
      <c r="R13" s="404"/>
      <c r="S13" s="404"/>
      <c r="T13" s="404"/>
      <c r="U13" s="404"/>
    </row>
    <row r="14" spans="1:21" s="171" customFormat="1" ht="24.95" customHeight="1">
      <c r="A14" s="404" t="s">
        <v>1089</v>
      </c>
      <c r="B14" s="404"/>
      <c r="C14" s="404"/>
      <c r="D14" s="404"/>
      <c r="E14" s="404"/>
      <c r="F14" s="404"/>
      <c r="G14" s="404"/>
      <c r="H14" s="404"/>
      <c r="I14" s="404"/>
      <c r="J14" s="404"/>
      <c r="K14" s="404"/>
      <c r="L14" s="404"/>
      <c r="M14" s="404"/>
      <c r="N14" s="404"/>
      <c r="O14" s="404"/>
      <c r="P14" s="404"/>
      <c r="Q14" s="404"/>
      <c r="R14" s="404"/>
      <c r="S14" s="404"/>
      <c r="T14" s="404"/>
      <c r="U14" s="404"/>
    </row>
    <row r="15" spans="1:21" s="171" customFormat="1" ht="24.95" customHeight="1">
      <c r="A15" s="404" t="s">
        <v>1393</v>
      </c>
      <c r="B15" s="404"/>
      <c r="C15" s="404"/>
      <c r="D15" s="404"/>
      <c r="E15" s="404"/>
      <c r="F15" s="404"/>
      <c r="G15" s="404"/>
      <c r="H15" s="404"/>
      <c r="I15" s="404"/>
      <c r="J15" s="404"/>
      <c r="K15" s="404"/>
      <c r="L15" s="404"/>
      <c r="M15" s="404"/>
      <c r="N15" s="404"/>
      <c r="O15" s="404"/>
      <c r="P15" s="404"/>
      <c r="Q15" s="404"/>
      <c r="R15" s="404"/>
      <c r="S15" s="404"/>
      <c r="T15" s="404"/>
      <c r="U15" s="404"/>
    </row>
    <row r="16" spans="1:21" s="171" customFormat="1" ht="24.95" customHeight="1">
      <c r="A16" s="404" t="s">
        <v>1394</v>
      </c>
      <c r="B16" s="404"/>
      <c r="C16" s="404"/>
      <c r="D16" s="404"/>
      <c r="E16" s="404"/>
      <c r="F16" s="404"/>
      <c r="G16" s="404"/>
      <c r="H16" s="404"/>
      <c r="I16" s="404"/>
      <c r="J16" s="404"/>
      <c r="K16" s="404"/>
      <c r="L16" s="404"/>
      <c r="M16" s="404"/>
      <c r="N16" s="404"/>
      <c r="O16" s="404"/>
      <c r="P16" s="404"/>
      <c r="Q16" s="404"/>
      <c r="R16" s="404"/>
      <c r="S16" s="404"/>
      <c r="T16" s="404"/>
      <c r="U16" s="404"/>
    </row>
    <row r="17" spans="1:21" s="171" customFormat="1" ht="38.1" customHeight="1">
      <c r="A17" s="404" t="s">
        <v>1090</v>
      </c>
      <c r="B17" s="404"/>
      <c r="C17" s="404"/>
      <c r="D17" s="404"/>
      <c r="E17" s="404"/>
      <c r="F17" s="404"/>
      <c r="G17" s="404"/>
      <c r="H17" s="404"/>
      <c r="I17" s="404"/>
      <c r="J17" s="404"/>
      <c r="K17" s="404"/>
      <c r="L17" s="404"/>
      <c r="M17" s="404"/>
      <c r="N17" s="404"/>
      <c r="O17" s="404"/>
      <c r="P17" s="404"/>
      <c r="Q17" s="404"/>
      <c r="R17" s="404"/>
      <c r="S17" s="404"/>
      <c r="T17" s="404"/>
      <c r="U17" s="404"/>
    </row>
    <row r="18" spans="1:21" s="171" customFormat="1" ht="38.1" customHeight="1">
      <c r="A18" s="404" t="s">
        <v>1091</v>
      </c>
      <c r="B18" s="404"/>
      <c r="C18" s="404"/>
      <c r="D18" s="404"/>
      <c r="E18" s="404"/>
      <c r="F18" s="404"/>
      <c r="G18" s="404"/>
      <c r="H18" s="404"/>
      <c r="I18" s="404"/>
      <c r="J18" s="404"/>
      <c r="K18" s="404"/>
      <c r="L18" s="404"/>
      <c r="M18" s="404"/>
      <c r="N18" s="404"/>
      <c r="O18" s="404"/>
      <c r="P18" s="404"/>
      <c r="Q18" s="404"/>
      <c r="R18" s="404"/>
      <c r="S18" s="404"/>
      <c r="T18" s="404"/>
      <c r="U18" s="404"/>
    </row>
    <row r="19" spans="1:21" s="171" customFormat="1" ht="24.95" customHeight="1">
      <c r="A19" s="404" t="s">
        <v>1092</v>
      </c>
      <c r="B19" s="404"/>
      <c r="C19" s="404"/>
      <c r="D19" s="404"/>
      <c r="E19" s="404"/>
      <c r="F19" s="404"/>
      <c r="G19" s="404"/>
      <c r="H19" s="404"/>
      <c r="I19" s="404"/>
      <c r="J19" s="404"/>
      <c r="K19" s="404"/>
      <c r="L19" s="404"/>
      <c r="M19" s="404"/>
      <c r="N19" s="404"/>
      <c r="O19" s="404"/>
      <c r="P19" s="404"/>
      <c r="Q19" s="404"/>
      <c r="R19" s="404"/>
      <c r="S19" s="404"/>
      <c r="T19" s="404"/>
      <c r="U19" s="404"/>
    </row>
    <row r="20" spans="1:21" s="171" customFormat="1" ht="24.95" customHeight="1">
      <c r="A20" s="404" t="s">
        <v>1093</v>
      </c>
      <c r="B20" s="404"/>
      <c r="C20" s="404"/>
      <c r="D20" s="404"/>
      <c r="E20" s="404"/>
      <c r="F20" s="404"/>
      <c r="G20" s="404"/>
      <c r="H20" s="404"/>
      <c r="I20" s="404"/>
      <c r="J20" s="404"/>
      <c r="K20" s="404"/>
      <c r="L20" s="404"/>
      <c r="M20" s="404"/>
      <c r="N20" s="404"/>
      <c r="O20" s="404"/>
      <c r="P20" s="404"/>
      <c r="Q20" s="404"/>
      <c r="R20" s="404"/>
      <c r="S20" s="404"/>
      <c r="T20" s="404"/>
      <c r="U20" s="404"/>
    </row>
    <row r="21" spans="1:21" s="171" customFormat="1" ht="38.1" customHeight="1">
      <c r="A21" s="404" t="s">
        <v>1094</v>
      </c>
      <c r="B21" s="404"/>
      <c r="C21" s="404"/>
      <c r="D21" s="404"/>
      <c r="E21" s="404"/>
      <c r="F21" s="404"/>
      <c r="G21" s="404"/>
      <c r="H21" s="404"/>
      <c r="I21" s="404"/>
      <c r="J21" s="404"/>
      <c r="K21" s="404"/>
      <c r="L21" s="404"/>
      <c r="M21" s="404"/>
      <c r="N21" s="404"/>
      <c r="O21" s="404"/>
      <c r="P21" s="404"/>
      <c r="Q21" s="404"/>
      <c r="R21" s="404"/>
      <c r="S21" s="404"/>
      <c r="T21" s="404"/>
      <c r="U21" s="404"/>
    </row>
    <row r="22" spans="1:21" s="171" customFormat="1" ht="38.1" customHeight="1">
      <c r="A22" s="404" t="s">
        <v>1095</v>
      </c>
      <c r="B22" s="404"/>
      <c r="C22" s="404"/>
      <c r="D22" s="404"/>
      <c r="E22" s="404"/>
      <c r="F22" s="404"/>
      <c r="G22" s="404"/>
      <c r="H22" s="404"/>
      <c r="I22" s="404"/>
      <c r="J22" s="404"/>
      <c r="K22" s="404"/>
      <c r="L22" s="404"/>
      <c r="M22" s="404"/>
      <c r="N22" s="404"/>
      <c r="O22" s="404"/>
      <c r="P22" s="404"/>
      <c r="Q22" s="404"/>
      <c r="R22" s="404"/>
      <c r="S22" s="404"/>
      <c r="T22" s="404"/>
      <c r="U22" s="404"/>
    </row>
    <row r="23" spans="1:21" s="171" customFormat="1" ht="38.1" customHeight="1">
      <c r="A23" s="404" t="s">
        <v>1096</v>
      </c>
      <c r="B23" s="404"/>
      <c r="C23" s="404"/>
      <c r="D23" s="404"/>
      <c r="E23" s="404"/>
      <c r="F23" s="404"/>
      <c r="G23" s="404"/>
      <c r="H23" s="404"/>
      <c r="I23" s="404"/>
      <c r="J23" s="404"/>
      <c r="K23" s="404"/>
      <c r="L23" s="404"/>
      <c r="M23" s="404"/>
      <c r="N23" s="404"/>
      <c r="O23" s="404"/>
      <c r="P23" s="404"/>
      <c r="Q23" s="404"/>
      <c r="R23" s="404"/>
      <c r="S23" s="404"/>
      <c r="T23" s="404"/>
      <c r="U23" s="404"/>
    </row>
    <row r="24" spans="1:21" s="171" customFormat="1" ht="38.1" customHeight="1">
      <c r="A24" s="404" t="s">
        <v>1097</v>
      </c>
      <c r="B24" s="404"/>
      <c r="C24" s="404"/>
      <c r="D24" s="404"/>
      <c r="E24" s="404"/>
      <c r="F24" s="404"/>
      <c r="G24" s="404"/>
      <c r="H24" s="404"/>
      <c r="I24" s="404"/>
      <c r="J24" s="404"/>
      <c r="K24" s="404"/>
      <c r="L24" s="404"/>
      <c r="M24" s="404"/>
      <c r="N24" s="404"/>
      <c r="O24" s="404"/>
      <c r="P24" s="404"/>
      <c r="Q24" s="404"/>
      <c r="R24" s="404"/>
      <c r="S24" s="404"/>
      <c r="T24" s="404"/>
      <c r="U24" s="404"/>
    </row>
    <row r="25" spans="1:21" s="171" customFormat="1" ht="38.1" customHeight="1">
      <c r="A25" s="404" t="s">
        <v>1098</v>
      </c>
      <c r="B25" s="404"/>
      <c r="C25" s="404"/>
      <c r="D25" s="404"/>
      <c r="E25" s="404"/>
      <c r="F25" s="404"/>
      <c r="G25" s="404"/>
      <c r="H25" s="404"/>
      <c r="I25" s="404"/>
      <c r="J25" s="404"/>
      <c r="K25" s="404"/>
      <c r="L25" s="404"/>
      <c r="M25" s="404"/>
      <c r="N25" s="404"/>
      <c r="O25" s="404"/>
      <c r="P25" s="404"/>
      <c r="Q25" s="404"/>
      <c r="R25" s="404"/>
      <c r="S25" s="404"/>
      <c r="T25" s="404"/>
      <c r="U25" s="404"/>
    </row>
    <row r="26" spans="1:21" s="171" customFormat="1" ht="38.1" customHeight="1">
      <c r="A26" s="404" t="s">
        <v>1099</v>
      </c>
      <c r="B26" s="404"/>
      <c r="C26" s="404"/>
      <c r="D26" s="404"/>
      <c r="E26" s="404"/>
      <c r="F26" s="404"/>
      <c r="G26" s="404"/>
      <c r="H26" s="404"/>
      <c r="I26" s="404"/>
      <c r="J26" s="404"/>
      <c r="K26" s="404"/>
      <c r="L26" s="404"/>
      <c r="M26" s="404"/>
      <c r="N26" s="404"/>
      <c r="O26" s="404"/>
      <c r="P26" s="404"/>
      <c r="Q26" s="404"/>
      <c r="R26" s="404"/>
      <c r="S26" s="404"/>
      <c r="T26" s="404"/>
      <c r="U26" s="404"/>
    </row>
    <row r="27" spans="1:21" s="171" customFormat="1" ht="38.1" customHeight="1">
      <c r="A27" s="404" t="s">
        <v>1100</v>
      </c>
      <c r="B27" s="404"/>
      <c r="C27" s="404"/>
      <c r="D27" s="404"/>
      <c r="E27" s="404"/>
      <c r="F27" s="404"/>
      <c r="G27" s="404"/>
      <c r="H27" s="404"/>
      <c r="I27" s="404"/>
      <c r="J27" s="404"/>
      <c r="K27" s="404"/>
      <c r="L27" s="404"/>
      <c r="M27" s="404"/>
      <c r="N27" s="404"/>
      <c r="O27" s="404"/>
      <c r="P27" s="404"/>
      <c r="Q27" s="404"/>
      <c r="R27" s="404"/>
      <c r="S27" s="404"/>
      <c r="T27" s="404"/>
      <c r="U27" s="404"/>
    </row>
    <row r="28" spans="1:21" s="171" customFormat="1" ht="24.95" customHeight="1">
      <c r="A28" s="404" t="s">
        <v>1101</v>
      </c>
      <c r="B28" s="404"/>
      <c r="C28" s="404"/>
      <c r="D28" s="404"/>
      <c r="E28" s="404"/>
      <c r="F28" s="404"/>
      <c r="G28" s="404"/>
      <c r="H28" s="404"/>
      <c r="I28" s="404"/>
      <c r="J28" s="404"/>
      <c r="K28" s="404"/>
      <c r="L28" s="404"/>
      <c r="M28" s="404"/>
      <c r="N28" s="404"/>
      <c r="O28" s="404"/>
      <c r="P28" s="404"/>
      <c r="Q28" s="404"/>
      <c r="R28" s="404"/>
      <c r="S28" s="404"/>
      <c r="T28" s="404"/>
      <c r="U28" s="404"/>
    </row>
    <row r="29" spans="1:21" s="171" customFormat="1" ht="24.95" customHeight="1">
      <c r="A29" s="404" t="s">
        <v>1102</v>
      </c>
      <c r="B29" s="404"/>
      <c r="C29" s="404"/>
      <c r="D29" s="404"/>
      <c r="E29" s="404"/>
      <c r="F29" s="404"/>
      <c r="G29" s="404"/>
      <c r="H29" s="404"/>
      <c r="I29" s="404"/>
      <c r="J29" s="404"/>
      <c r="K29" s="404"/>
      <c r="L29" s="404"/>
      <c r="M29" s="404"/>
      <c r="N29" s="404"/>
      <c r="O29" s="404"/>
      <c r="P29" s="404"/>
      <c r="Q29" s="404"/>
      <c r="R29" s="404"/>
      <c r="S29" s="404"/>
      <c r="T29" s="404"/>
      <c r="U29" s="404"/>
    </row>
    <row r="30" spans="1:21" s="171" customFormat="1" ht="24.95" customHeight="1">
      <c r="A30" s="404" t="s">
        <v>1103</v>
      </c>
      <c r="B30" s="404"/>
      <c r="C30" s="404"/>
      <c r="D30" s="404"/>
      <c r="E30" s="404"/>
      <c r="F30" s="404"/>
      <c r="G30" s="404"/>
      <c r="H30" s="404"/>
      <c r="I30" s="404"/>
      <c r="J30" s="404"/>
      <c r="K30" s="404"/>
      <c r="L30" s="404"/>
      <c r="M30" s="404"/>
      <c r="N30" s="404"/>
      <c r="O30" s="404"/>
      <c r="P30" s="404"/>
      <c r="Q30" s="404"/>
      <c r="R30" s="404"/>
      <c r="S30" s="404"/>
      <c r="T30" s="404"/>
      <c r="U30" s="404"/>
    </row>
    <row r="31" spans="1:21" s="171" customFormat="1" ht="24.95" customHeight="1">
      <c r="A31" s="404" t="s">
        <v>1104</v>
      </c>
      <c r="B31" s="404"/>
      <c r="C31" s="404"/>
      <c r="D31" s="404"/>
      <c r="E31" s="404"/>
      <c r="F31" s="404"/>
      <c r="G31" s="404"/>
      <c r="H31" s="404"/>
      <c r="I31" s="404"/>
      <c r="J31" s="404"/>
      <c r="K31" s="404"/>
      <c r="L31" s="404"/>
      <c r="M31" s="404"/>
      <c r="N31" s="404"/>
      <c r="O31" s="404"/>
      <c r="P31" s="404"/>
      <c r="Q31" s="404"/>
      <c r="R31" s="404"/>
      <c r="S31" s="404"/>
      <c r="T31" s="404"/>
      <c r="U31" s="404"/>
    </row>
    <row r="32" spans="1:21" s="171" customFormat="1" ht="24.95" customHeight="1">
      <c r="A32" s="404" t="s">
        <v>1105</v>
      </c>
      <c r="B32" s="404"/>
      <c r="C32" s="404"/>
      <c r="D32" s="404"/>
      <c r="E32" s="404"/>
      <c r="F32" s="404"/>
      <c r="G32" s="404"/>
      <c r="H32" s="404"/>
      <c r="I32" s="404"/>
      <c r="J32" s="404"/>
      <c r="K32" s="404"/>
      <c r="L32" s="404"/>
      <c r="M32" s="404"/>
      <c r="N32" s="404"/>
      <c r="O32" s="404"/>
      <c r="P32" s="404"/>
      <c r="Q32" s="404"/>
      <c r="R32" s="404"/>
      <c r="S32" s="404"/>
      <c r="T32" s="404"/>
      <c r="U32" s="404"/>
    </row>
    <row r="33" spans="1:21" s="171" customFormat="1" ht="38.1" customHeight="1">
      <c r="A33" s="404" t="s">
        <v>1106</v>
      </c>
      <c r="B33" s="404"/>
      <c r="C33" s="404"/>
      <c r="D33" s="404"/>
      <c r="E33" s="404"/>
      <c r="F33" s="404"/>
      <c r="G33" s="404"/>
      <c r="H33" s="404"/>
      <c r="I33" s="404"/>
      <c r="J33" s="404"/>
      <c r="K33" s="404"/>
      <c r="L33" s="404"/>
      <c r="M33" s="404"/>
      <c r="N33" s="404"/>
      <c r="O33" s="404"/>
      <c r="P33" s="404"/>
      <c r="Q33" s="404"/>
      <c r="R33" s="404"/>
      <c r="S33" s="404"/>
      <c r="T33" s="404"/>
      <c r="U33" s="404"/>
    </row>
    <row r="34" spans="1:21" s="171" customFormat="1" ht="38.1" customHeight="1">
      <c r="A34" s="404" t="s">
        <v>1107</v>
      </c>
      <c r="B34" s="404"/>
      <c r="C34" s="404"/>
      <c r="D34" s="404"/>
      <c r="E34" s="404"/>
      <c r="F34" s="404"/>
      <c r="G34" s="404"/>
      <c r="H34" s="404"/>
      <c r="I34" s="404"/>
      <c r="J34" s="404"/>
      <c r="K34" s="404"/>
      <c r="L34" s="404"/>
      <c r="M34" s="404"/>
      <c r="N34" s="404"/>
      <c r="O34" s="404"/>
      <c r="P34" s="404"/>
      <c r="Q34" s="404"/>
      <c r="R34" s="404"/>
      <c r="S34" s="404"/>
      <c r="T34" s="404"/>
      <c r="U34" s="404"/>
    </row>
    <row r="35" spans="1:21" s="171" customFormat="1" ht="38.1" customHeight="1">
      <c r="A35" s="404" t="s">
        <v>1108</v>
      </c>
      <c r="B35" s="404"/>
      <c r="C35" s="404"/>
      <c r="D35" s="404"/>
      <c r="E35" s="404"/>
      <c r="F35" s="404"/>
      <c r="G35" s="404"/>
      <c r="H35" s="404"/>
      <c r="I35" s="404"/>
      <c r="J35" s="404"/>
      <c r="K35" s="404"/>
      <c r="L35" s="404"/>
      <c r="M35" s="404"/>
      <c r="N35" s="404"/>
      <c r="O35" s="404"/>
      <c r="P35" s="404"/>
      <c r="Q35" s="404"/>
      <c r="R35" s="404"/>
      <c r="S35" s="404"/>
      <c r="T35" s="404"/>
      <c r="U35" s="404"/>
    </row>
    <row r="36" spans="1:21" s="171" customFormat="1" ht="38.1" customHeight="1">
      <c r="A36" s="404" t="s">
        <v>1109</v>
      </c>
      <c r="B36" s="404"/>
      <c r="C36" s="404"/>
      <c r="D36" s="404"/>
      <c r="E36" s="404"/>
      <c r="F36" s="404"/>
      <c r="G36" s="404"/>
      <c r="H36" s="404"/>
      <c r="I36" s="404"/>
      <c r="J36" s="404"/>
      <c r="K36" s="404"/>
      <c r="L36" s="404"/>
      <c r="M36" s="404"/>
      <c r="N36" s="404"/>
      <c r="O36" s="404"/>
      <c r="P36" s="404"/>
      <c r="Q36" s="404"/>
      <c r="R36" s="404"/>
      <c r="S36" s="404"/>
      <c r="T36" s="404"/>
      <c r="U36" s="404"/>
    </row>
    <row r="37" spans="1:21" s="171" customFormat="1" ht="24.95" customHeight="1">
      <c r="A37" s="404" t="s">
        <v>1110</v>
      </c>
      <c r="B37" s="404"/>
      <c r="C37" s="404"/>
      <c r="D37" s="404"/>
      <c r="E37" s="404"/>
      <c r="F37" s="404"/>
      <c r="G37" s="404"/>
      <c r="H37" s="404"/>
      <c r="I37" s="404"/>
      <c r="J37" s="404"/>
      <c r="K37" s="404"/>
      <c r="L37" s="404"/>
      <c r="M37" s="404"/>
      <c r="N37" s="404"/>
      <c r="O37" s="404"/>
      <c r="P37" s="404"/>
      <c r="Q37" s="404"/>
      <c r="R37" s="404"/>
      <c r="S37" s="404"/>
      <c r="T37" s="404"/>
      <c r="U37" s="404"/>
    </row>
    <row r="38" spans="1:21" s="171" customFormat="1" ht="38.1" customHeight="1">
      <c r="A38" s="404" t="s">
        <v>1111</v>
      </c>
      <c r="B38" s="404"/>
      <c r="C38" s="404"/>
      <c r="D38" s="404"/>
      <c r="E38" s="404"/>
      <c r="F38" s="404"/>
      <c r="G38" s="404"/>
      <c r="H38" s="404"/>
      <c r="I38" s="404"/>
      <c r="J38" s="404"/>
      <c r="K38" s="404"/>
      <c r="L38" s="404"/>
      <c r="M38" s="404"/>
      <c r="N38" s="404"/>
      <c r="O38" s="404"/>
      <c r="P38" s="404"/>
      <c r="Q38" s="404"/>
      <c r="R38" s="404"/>
      <c r="S38" s="404"/>
      <c r="T38" s="404"/>
      <c r="U38" s="404"/>
    </row>
    <row r="39" spans="1:21" s="171" customFormat="1" ht="38.1" customHeight="1">
      <c r="A39" s="404" t="s">
        <v>1112</v>
      </c>
      <c r="B39" s="404"/>
      <c r="C39" s="404"/>
      <c r="D39" s="404"/>
      <c r="E39" s="404"/>
      <c r="F39" s="404"/>
      <c r="G39" s="404"/>
      <c r="H39" s="404"/>
      <c r="I39" s="404"/>
      <c r="J39" s="404"/>
      <c r="K39" s="404"/>
      <c r="L39" s="404"/>
      <c r="M39" s="404"/>
      <c r="N39" s="404"/>
      <c r="O39" s="404"/>
      <c r="P39" s="404"/>
      <c r="Q39" s="404"/>
      <c r="R39" s="404"/>
      <c r="S39" s="404"/>
      <c r="T39" s="404"/>
      <c r="U39" s="404"/>
    </row>
    <row r="40" spans="1:21" s="171" customFormat="1" ht="24.95" customHeight="1">
      <c r="A40" s="404" t="s">
        <v>1113</v>
      </c>
      <c r="B40" s="404"/>
      <c r="C40" s="404"/>
      <c r="D40" s="404"/>
      <c r="E40" s="404"/>
      <c r="F40" s="404"/>
      <c r="G40" s="404"/>
      <c r="H40" s="404"/>
      <c r="I40" s="404"/>
      <c r="J40" s="404"/>
      <c r="K40" s="404"/>
      <c r="L40" s="404"/>
      <c r="M40" s="404"/>
      <c r="N40" s="404"/>
      <c r="O40" s="404"/>
      <c r="P40" s="404"/>
      <c r="Q40" s="404"/>
      <c r="R40" s="404"/>
      <c r="S40" s="404"/>
      <c r="T40" s="404"/>
      <c r="U40" s="404"/>
    </row>
    <row r="41" spans="1:21" s="171" customFormat="1" ht="24.95" customHeight="1">
      <c r="A41" s="404" t="s">
        <v>1114</v>
      </c>
      <c r="B41" s="404"/>
      <c r="C41" s="404"/>
      <c r="D41" s="404"/>
      <c r="E41" s="404"/>
      <c r="F41" s="404"/>
      <c r="G41" s="404"/>
      <c r="H41" s="404"/>
      <c r="I41" s="404"/>
      <c r="J41" s="404"/>
      <c r="K41" s="404"/>
      <c r="L41" s="404"/>
      <c r="M41" s="404"/>
      <c r="N41" s="404"/>
      <c r="O41" s="404"/>
      <c r="P41" s="404"/>
      <c r="Q41" s="404"/>
      <c r="R41" s="404"/>
      <c r="S41" s="404"/>
      <c r="T41" s="404"/>
      <c r="U41" s="404"/>
    </row>
    <row r="42" spans="1:21" s="171" customFormat="1" ht="38.1" customHeight="1">
      <c r="A42" s="404" t="s">
        <v>1115</v>
      </c>
      <c r="B42" s="404"/>
      <c r="C42" s="404"/>
      <c r="D42" s="404"/>
      <c r="E42" s="404"/>
      <c r="F42" s="404"/>
      <c r="G42" s="404"/>
      <c r="H42" s="404"/>
      <c r="I42" s="404"/>
      <c r="J42" s="404"/>
      <c r="K42" s="404"/>
      <c r="L42" s="404"/>
      <c r="M42" s="404"/>
      <c r="N42" s="404"/>
      <c r="O42" s="404"/>
      <c r="P42" s="404"/>
      <c r="Q42" s="404"/>
      <c r="R42" s="404"/>
      <c r="S42" s="404"/>
      <c r="T42" s="404"/>
      <c r="U42" s="404"/>
    </row>
    <row r="43" spans="1:21" s="171" customFormat="1" ht="24.95" customHeight="1">
      <c r="A43" s="404" t="s">
        <v>1116</v>
      </c>
      <c r="B43" s="404"/>
      <c r="C43" s="404"/>
      <c r="D43" s="404"/>
      <c r="E43" s="404"/>
      <c r="F43" s="404"/>
      <c r="G43" s="404"/>
      <c r="H43" s="404"/>
      <c r="I43" s="404"/>
      <c r="J43" s="404"/>
      <c r="K43" s="404"/>
      <c r="L43" s="404"/>
      <c r="M43" s="404"/>
      <c r="N43" s="404"/>
      <c r="O43" s="404"/>
      <c r="P43" s="404"/>
      <c r="Q43" s="404"/>
      <c r="R43" s="404"/>
      <c r="S43" s="404"/>
      <c r="T43" s="404"/>
      <c r="U43" s="404"/>
    </row>
    <row r="44" spans="1:21" s="171" customFormat="1" ht="24.95" customHeight="1">
      <c r="A44" s="404" t="s">
        <v>1117</v>
      </c>
      <c r="B44" s="404"/>
      <c r="C44" s="404"/>
      <c r="D44" s="404"/>
      <c r="E44" s="404"/>
      <c r="F44" s="404"/>
      <c r="G44" s="404"/>
      <c r="H44" s="404"/>
      <c r="I44" s="404"/>
      <c r="J44" s="404"/>
      <c r="K44" s="404"/>
      <c r="L44" s="404"/>
      <c r="M44" s="404"/>
      <c r="N44" s="404"/>
      <c r="O44" s="404"/>
      <c r="P44" s="404"/>
      <c r="Q44" s="404"/>
      <c r="R44" s="404"/>
      <c r="S44" s="404"/>
      <c r="T44" s="404"/>
      <c r="U44" s="404"/>
    </row>
    <row r="45" spans="1:21" s="171" customFormat="1" ht="24.95" customHeight="1">
      <c r="A45" s="404" t="s">
        <v>1118</v>
      </c>
      <c r="B45" s="404"/>
      <c r="C45" s="404"/>
      <c r="D45" s="404"/>
      <c r="E45" s="404"/>
      <c r="F45" s="404"/>
      <c r="G45" s="404"/>
      <c r="H45" s="404"/>
      <c r="I45" s="404"/>
      <c r="J45" s="404"/>
      <c r="K45" s="404"/>
      <c r="L45" s="404"/>
      <c r="M45" s="404"/>
      <c r="N45" s="404"/>
      <c r="O45" s="404"/>
      <c r="P45" s="404"/>
      <c r="Q45" s="404"/>
      <c r="R45" s="404"/>
      <c r="S45" s="404"/>
      <c r="T45" s="404"/>
      <c r="U45" s="404"/>
    </row>
    <row r="46" spans="1:21" s="171" customFormat="1" ht="24.95" customHeight="1">
      <c r="A46" s="404" t="s">
        <v>1119</v>
      </c>
      <c r="B46" s="404"/>
      <c r="C46" s="404"/>
      <c r="D46" s="404"/>
      <c r="E46" s="404"/>
      <c r="F46" s="404"/>
      <c r="G46" s="404"/>
      <c r="H46" s="404"/>
      <c r="I46" s="404"/>
      <c r="J46" s="404"/>
      <c r="K46" s="404"/>
      <c r="L46" s="404"/>
      <c r="M46" s="404"/>
      <c r="N46" s="404"/>
      <c r="O46" s="404"/>
      <c r="P46" s="404"/>
      <c r="Q46" s="404"/>
      <c r="R46" s="404"/>
      <c r="S46" s="404"/>
      <c r="T46" s="404"/>
      <c r="U46" s="404"/>
    </row>
    <row r="47" spans="1:21" s="171" customFormat="1" ht="24.95" customHeight="1">
      <c r="A47" s="404" t="s">
        <v>1120</v>
      </c>
      <c r="B47" s="404"/>
      <c r="C47" s="404"/>
      <c r="D47" s="404"/>
      <c r="E47" s="404"/>
      <c r="F47" s="404"/>
      <c r="G47" s="404"/>
      <c r="H47" s="404"/>
      <c r="I47" s="404"/>
      <c r="J47" s="404"/>
      <c r="K47" s="404"/>
      <c r="L47" s="404"/>
      <c r="M47" s="404"/>
      <c r="N47" s="404"/>
      <c r="O47" s="404"/>
      <c r="P47" s="404"/>
      <c r="Q47" s="404"/>
      <c r="R47" s="404"/>
      <c r="S47" s="404"/>
      <c r="T47" s="404"/>
      <c r="U47" s="404"/>
    </row>
    <row r="48" spans="1:21" s="171" customFormat="1" ht="24.95" customHeight="1">
      <c r="A48" s="404" t="s">
        <v>1121</v>
      </c>
      <c r="B48" s="404"/>
      <c r="C48" s="404"/>
      <c r="D48" s="404"/>
      <c r="E48" s="404"/>
      <c r="F48" s="404"/>
      <c r="G48" s="404"/>
      <c r="H48" s="404"/>
      <c r="I48" s="404"/>
      <c r="J48" s="404"/>
      <c r="K48" s="404"/>
      <c r="L48" s="404"/>
      <c r="M48" s="404"/>
      <c r="N48" s="404"/>
      <c r="O48" s="404"/>
      <c r="P48" s="404"/>
      <c r="Q48" s="404"/>
      <c r="R48" s="404"/>
      <c r="S48" s="404"/>
      <c r="T48" s="404"/>
      <c r="U48" s="404"/>
    </row>
    <row r="49" spans="1:21" s="171" customFormat="1" ht="24.95" customHeight="1">
      <c r="A49" s="404" t="s">
        <v>1122</v>
      </c>
      <c r="B49" s="404"/>
      <c r="C49" s="404"/>
      <c r="D49" s="404"/>
      <c r="E49" s="404"/>
      <c r="F49" s="404"/>
      <c r="G49" s="404"/>
      <c r="H49" s="404"/>
      <c r="I49" s="404"/>
      <c r="J49" s="404"/>
      <c r="K49" s="404"/>
      <c r="L49" s="404"/>
      <c r="M49" s="404"/>
      <c r="N49" s="404"/>
      <c r="O49" s="404"/>
      <c r="P49" s="404"/>
      <c r="Q49" s="404"/>
      <c r="R49" s="404"/>
      <c r="S49" s="404"/>
      <c r="T49" s="404"/>
      <c r="U49" s="404"/>
    </row>
    <row r="50" spans="1:21" s="171" customFormat="1" ht="24.95" customHeight="1">
      <c r="A50" s="404" t="s">
        <v>1123</v>
      </c>
      <c r="B50" s="404"/>
      <c r="C50" s="404"/>
      <c r="D50" s="404"/>
      <c r="E50" s="404"/>
      <c r="F50" s="404"/>
      <c r="G50" s="404"/>
      <c r="H50" s="404"/>
      <c r="I50" s="404"/>
      <c r="J50" s="404"/>
      <c r="K50" s="404"/>
      <c r="L50" s="404"/>
      <c r="M50" s="404"/>
      <c r="N50" s="404"/>
      <c r="O50" s="404"/>
      <c r="P50" s="404"/>
      <c r="Q50" s="404"/>
      <c r="R50" s="404"/>
      <c r="S50" s="404"/>
      <c r="T50" s="404"/>
      <c r="U50" s="404"/>
    </row>
    <row r="51" spans="1:21" s="171" customFormat="1" ht="24.95" customHeight="1">
      <c r="A51" s="404" t="s">
        <v>1124</v>
      </c>
      <c r="B51" s="404"/>
      <c r="C51" s="404"/>
      <c r="D51" s="404"/>
      <c r="E51" s="404"/>
      <c r="F51" s="404"/>
      <c r="G51" s="404"/>
      <c r="H51" s="404"/>
      <c r="I51" s="404"/>
      <c r="J51" s="404"/>
      <c r="K51" s="404"/>
      <c r="L51" s="404"/>
      <c r="M51" s="404"/>
      <c r="N51" s="404"/>
      <c r="O51" s="404"/>
      <c r="P51" s="404"/>
      <c r="Q51" s="404"/>
      <c r="R51" s="404"/>
      <c r="S51" s="404"/>
      <c r="T51" s="404"/>
      <c r="U51" s="404"/>
    </row>
    <row r="52" spans="1:21" s="171" customFormat="1" ht="24.95" customHeight="1">
      <c r="A52" s="404" t="s">
        <v>1125</v>
      </c>
      <c r="B52" s="404"/>
      <c r="C52" s="404"/>
      <c r="D52" s="404"/>
      <c r="E52" s="404"/>
      <c r="F52" s="404"/>
      <c r="G52" s="404"/>
      <c r="H52" s="404"/>
      <c r="I52" s="404"/>
      <c r="J52" s="404"/>
      <c r="K52" s="404"/>
      <c r="L52" s="404"/>
      <c r="M52" s="404"/>
      <c r="N52" s="404"/>
      <c r="O52" s="404"/>
      <c r="P52" s="404"/>
      <c r="Q52" s="404"/>
      <c r="R52" s="404"/>
      <c r="S52" s="404"/>
      <c r="T52" s="404"/>
      <c r="U52" s="404"/>
    </row>
    <row r="53" spans="1:21" s="171" customFormat="1" ht="24.95" customHeight="1">
      <c r="A53" s="404" t="s">
        <v>1126</v>
      </c>
      <c r="B53" s="404"/>
      <c r="C53" s="404"/>
      <c r="D53" s="404"/>
      <c r="E53" s="404"/>
      <c r="F53" s="404"/>
      <c r="G53" s="404"/>
      <c r="H53" s="404"/>
      <c r="I53" s="404"/>
      <c r="J53" s="404"/>
      <c r="K53" s="404"/>
      <c r="L53" s="404"/>
      <c r="M53" s="404"/>
      <c r="N53" s="404"/>
      <c r="O53" s="404"/>
      <c r="P53" s="404"/>
      <c r="Q53" s="404"/>
      <c r="R53" s="404"/>
      <c r="S53" s="404"/>
      <c r="T53" s="404"/>
      <c r="U53" s="404"/>
    </row>
    <row r="54" spans="1:21" s="171" customFormat="1" ht="24.95" customHeight="1">
      <c r="A54" s="404" t="s">
        <v>1127</v>
      </c>
      <c r="B54" s="404"/>
      <c r="C54" s="404"/>
      <c r="D54" s="404"/>
      <c r="E54" s="404"/>
      <c r="F54" s="404"/>
      <c r="G54" s="404"/>
      <c r="H54" s="404"/>
      <c r="I54" s="404"/>
      <c r="J54" s="404"/>
      <c r="K54" s="404"/>
      <c r="L54" s="404"/>
      <c r="M54" s="404"/>
      <c r="N54" s="404"/>
      <c r="O54" s="404"/>
      <c r="P54" s="404"/>
      <c r="Q54" s="404"/>
      <c r="R54" s="404"/>
      <c r="S54" s="404"/>
      <c r="T54" s="404"/>
      <c r="U54" s="404"/>
    </row>
    <row r="55" spans="1:21" s="171" customFormat="1" ht="24.95" customHeight="1">
      <c r="A55" s="404" t="s">
        <v>1128</v>
      </c>
      <c r="B55" s="404"/>
      <c r="C55" s="404"/>
      <c r="D55" s="404"/>
      <c r="E55" s="404"/>
      <c r="F55" s="404"/>
      <c r="G55" s="404"/>
      <c r="H55" s="404"/>
      <c r="I55" s="404"/>
      <c r="J55" s="404"/>
      <c r="K55" s="404"/>
      <c r="L55" s="404"/>
      <c r="M55" s="404"/>
      <c r="N55" s="404"/>
      <c r="O55" s="404"/>
      <c r="P55" s="404"/>
      <c r="Q55" s="404"/>
      <c r="R55" s="404"/>
      <c r="S55" s="404"/>
      <c r="T55" s="404"/>
      <c r="U55" s="404"/>
    </row>
    <row r="56" spans="1:21" s="171" customFormat="1" ht="24.95" customHeight="1">
      <c r="A56" s="404" t="s">
        <v>1129</v>
      </c>
      <c r="B56" s="404"/>
      <c r="C56" s="404"/>
      <c r="D56" s="404"/>
      <c r="E56" s="404"/>
      <c r="F56" s="404"/>
      <c r="G56" s="404"/>
      <c r="H56" s="404"/>
      <c r="I56" s="404"/>
      <c r="J56" s="404"/>
      <c r="K56" s="404"/>
      <c r="L56" s="404"/>
      <c r="M56" s="404"/>
      <c r="N56" s="404"/>
      <c r="O56" s="404"/>
      <c r="P56" s="404"/>
      <c r="Q56" s="404"/>
      <c r="R56" s="404"/>
      <c r="S56" s="404"/>
      <c r="T56" s="404"/>
      <c r="U56" s="404"/>
    </row>
    <row r="57" spans="1:21" s="171" customFormat="1" ht="24.95" customHeight="1">
      <c r="A57" s="404" t="s">
        <v>1130</v>
      </c>
      <c r="B57" s="404"/>
      <c r="C57" s="404"/>
      <c r="D57" s="404"/>
      <c r="E57" s="404"/>
      <c r="F57" s="404"/>
      <c r="G57" s="404"/>
      <c r="H57" s="404"/>
      <c r="I57" s="404"/>
      <c r="J57" s="404"/>
      <c r="K57" s="404"/>
      <c r="L57" s="404"/>
      <c r="M57" s="404"/>
      <c r="N57" s="404"/>
      <c r="O57" s="404"/>
      <c r="P57" s="404"/>
      <c r="Q57" s="404"/>
      <c r="R57" s="404"/>
      <c r="S57" s="404"/>
      <c r="T57" s="404"/>
      <c r="U57" s="404"/>
    </row>
    <row r="58" spans="1:21" s="171" customFormat="1" ht="24.95" customHeight="1">
      <c r="A58" s="404" t="s">
        <v>1131</v>
      </c>
      <c r="B58" s="404"/>
      <c r="C58" s="404"/>
      <c r="D58" s="404"/>
      <c r="E58" s="404"/>
      <c r="F58" s="404"/>
      <c r="G58" s="404"/>
      <c r="H58" s="404"/>
      <c r="I58" s="404"/>
      <c r="J58" s="404"/>
      <c r="K58" s="404"/>
      <c r="L58" s="404"/>
      <c r="M58" s="404"/>
      <c r="N58" s="404"/>
      <c r="O58" s="404"/>
      <c r="P58" s="404"/>
      <c r="Q58" s="404"/>
      <c r="R58" s="404"/>
      <c r="S58" s="404"/>
      <c r="T58" s="404"/>
      <c r="U58" s="404"/>
    </row>
    <row r="59" spans="1:21" s="171" customFormat="1" ht="24.95" customHeight="1">
      <c r="A59" s="404" t="s">
        <v>1132</v>
      </c>
      <c r="B59" s="404"/>
      <c r="C59" s="404"/>
      <c r="D59" s="404"/>
      <c r="E59" s="404"/>
      <c r="F59" s="404"/>
      <c r="G59" s="404"/>
      <c r="H59" s="404"/>
      <c r="I59" s="404"/>
      <c r="J59" s="404"/>
      <c r="K59" s="404"/>
      <c r="L59" s="404"/>
      <c r="M59" s="404"/>
      <c r="N59" s="404"/>
      <c r="O59" s="404"/>
      <c r="P59" s="404"/>
      <c r="Q59" s="404"/>
      <c r="R59" s="404"/>
      <c r="S59" s="404"/>
      <c r="T59" s="404"/>
      <c r="U59" s="404"/>
    </row>
    <row r="60" spans="1:21" s="171" customFormat="1" ht="24.95" customHeight="1">
      <c r="A60" s="404" t="s">
        <v>1133</v>
      </c>
      <c r="B60" s="404"/>
      <c r="C60" s="404"/>
      <c r="D60" s="404"/>
      <c r="E60" s="404"/>
      <c r="F60" s="404"/>
      <c r="G60" s="404"/>
      <c r="H60" s="404"/>
      <c r="I60" s="404"/>
      <c r="J60" s="404"/>
      <c r="K60" s="404"/>
      <c r="L60" s="404"/>
      <c r="M60" s="404"/>
      <c r="N60" s="404"/>
      <c r="O60" s="404"/>
      <c r="P60" s="404"/>
      <c r="Q60" s="404"/>
      <c r="R60" s="404"/>
      <c r="S60" s="404"/>
      <c r="T60" s="404"/>
      <c r="U60" s="404"/>
    </row>
    <row r="61" spans="1:21" s="171" customFormat="1" ht="24.95" customHeight="1">
      <c r="A61" s="404" t="s">
        <v>1134</v>
      </c>
      <c r="B61" s="404"/>
      <c r="C61" s="404"/>
      <c r="D61" s="404"/>
      <c r="E61" s="404"/>
      <c r="F61" s="404"/>
      <c r="G61" s="404"/>
      <c r="H61" s="404"/>
      <c r="I61" s="404"/>
      <c r="J61" s="404"/>
      <c r="K61" s="404"/>
      <c r="L61" s="404"/>
      <c r="M61" s="404"/>
      <c r="N61" s="404"/>
      <c r="O61" s="404"/>
      <c r="P61" s="404"/>
      <c r="Q61" s="404"/>
      <c r="R61" s="404"/>
      <c r="S61" s="404"/>
      <c r="T61" s="404"/>
      <c r="U61" s="404"/>
    </row>
    <row r="62" spans="1:21" s="171" customFormat="1" ht="24.95" customHeight="1">
      <c r="A62" s="404" t="s">
        <v>1135</v>
      </c>
      <c r="B62" s="404"/>
      <c r="C62" s="404"/>
      <c r="D62" s="404"/>
      <c r="E62" s="404"/>
      <c r="F62" s="404"/>
      <c r="G62" s="404"/>
      <c r="H62" s="404"/>
      <c r="I62" s="404"/>
      <c r="J62" s="404"/>
      <c r="K62" s="404"/>
      <c r="L62" s="404"/>
      <c r="M62" s="404"/>
      <c r="N62" s="404"/>
      <c r="O62" s="404"/>
      <c r="P62" s="404"/>
      <c r="Q62" s="404"/>
      <c r="R62" s="404"/>
      <c r="S62" s="404"/>
      <c r="T62" s="404"/>
      <c r="U62" s="404"/>
    </row>
    <row r="63" spans="1:21" s="171" customFormat="1" ht="24.95" customHeight="1">
      <c r="A63" s="404" t="s">
        <v>1136</v>
      </c>
      <c r="B63" s="404"/>
      <c r="C63" s="404"/>
      <c r="D63" s="404"/>
      <c r="E63" s="404"/>
      <c r="F63" s="404"/>
      <c r="G63" s="404"/>
      <c r="H63" s="404"/>
      <c r="I63" s="404"/>
      <c r="J63" s="404"/>
      <c r="K63" s="404"/>
      <c r="L63" s="404"/>
      <c r="M63" s="404"/>
      <c r="N63" s="404"/>
      <c r="O63" s="404"/>
      <c r="P63" s="404"/>
      <c r="Q63" s="404"/>
      <c r="R63" s="404"/>
      <c r="S63" s="404"/>
      <c r="T63" s="404"/>
      <c r="U63" s="404"/>
    </row>
    <row r="64" spans="1:21" s="171" customFormat="1" ht="24.95" customHeight="1">
      <c r="A64" s="404" t="s">
        <v>1137</v>
      </c>
      <c r="B64" s="404"/>
      <c r="C64" s="404"/>
      <c r="D64" s="404"/>
      <c r="E64" s="404"/>
      <c r="F64" s="404"/>
      <c r="G64" s="404"/>
      <c r="H64" s="404"/>
      <c r="I64" s="404"/>
      <c r="J64" s="404"/>
      <c r="K64" s="404"/>
      <c r="L64" s="404"/>
      <c r="M64" s="404"/>
      <c r="N64" s="404"/>
      <c r="O64" s="404"/>
      <c r="P64" s="404"/>
      <c r="Q64" s="404"/>
      <c r="R64" s="404"/>
      <c r="S64" s="404"/>
      <c r="T64" s="404"/>
      <c r="U64" s="404"/>
    </row>
    <row r="65" spans="1:21" s="171" customFormat="1" ht="24.95" customHeight="1">
      <c r="A65" s="404" t="s">
        <v>1138</v>
      </c>
      <c r="B65" s="404"/>
      <c r="C65" s="404"/>
      <c r="D65" s="404"/>
      <c r="E65" s="404"/>
      <c r="F65" s="404"/>
      <c r="G65" s="404"/>
      <c r="H65" s="404"/>
      <c r="I65" s="404"/>
      <c r="J65" s="404"/>
      <c r="K65" s="404"/>
      <c r="L65" s="404"/>
      <c r="M65" s="404"/>
      <c r="N65" s="404"/>
      <c r="O65" s="404"/>
      <c r="P65" s="404"/>
      <c r="Q65" s="404"/>
      <c r="R65" s="404"/>
      <c r="S65" s="404"/>
      <c r="T65" s="404"/>
      <c r="U65" s="404"/>
    </row>
    <row r="66" spans="1:21" s="171" customFormat="1" ht="24.95" customHeight="1">
      <c r="A66" s="404" t="s">
        <v>1139</v>
      </c>
      <c r="B66" s="404"/>
      <c r="C66" s="404"/>
      <c r="D66" s="404"/>
      <c r="E66" s="404"/>
      <c r="F66" s="404"/>
      <c r="G66" s="404"/>
      <c r="H66" s="404"/>
      <c r="I66" s="404"/>
      <c r="J66" s="404"/>
      <c r="K66" s="404"/>
      <c r="L66" s="404"/>
      <c r="M66" s="404"/>
      <c r="N66" s="404"/>
      <c r="O66" s="404"/>
      <c r="P66" s="404"/>
      <c r="Q66" s="404"/>
      <c r="R66" s="404"/>
      <c r="S66" s="404"/>
      <c r="T66" s="404"/>
      <c r="U66" s="404"/>
    </row>
    <row r="67" spans="1:21" s="171" customFormat="1" ht="24.95" customHeight="1">
      <c r="A67" s="404" t="s">
        <v>1140</v>
      </c>
      <c r="B67" s="404"/>
      <c r="C67" s="404"/>
      <c r="D67" s="404"/>
      <c r="E67" s="404"/>
      <c r="F67" s="404"/>
      <c r="G67" s="404"/>
      <c r="H67" s="404"/>
      <c r="I67" s="404"/>
      <c r="J67" s="404"/>
      <c r="K67" s="404"/>
      <c r="L67" s="404"/>
      <c r="M67" s="404"/>
      <c r="N67" s="404"/>
      <c r="O67" s="404"/>
      <c r="P67" s="404"/>
      <c r="Q67" s="404"/>
      <c r="R67" s="404"/>
      <c r="S67" s="404"/>
      <c r="T67" s="404"/>
      <c r="U67" s="404"/>
    </row>
    <row r="68" spans="1:21" s="171" customFormat="1" ht="38.1" customHeight="1">
      <c r="A68" s="404" t="s">
        <v>1141</v>
      </c>
      <c r="B68" s="404"/>
      <c r="C68" s="404"/>
      <c r="D68" s="404"/>
      <c r="E68" s="404"/>
      <c r="F68" s="404"/>
      <c r="G68" s="404"/>
      <c r="H68" s="404"/>
      <c r="I68" s="404"/>
      <c r="J68" s="404"/>
      <c r="K68" s="404"/>
      <c r="L68" s="404"/>
      <c r="M68" s="404"/>
      <c r="N68" s="404"/>
      <c r="O68" s="404"/>
      <c r="P68" s="404"/>
      <c r="Q68" s="404"/>
      <c r="R68" s="404"/>
      <c r="S68" s="404"/>
      <c r="T68" s="404"/>
      <c r="U68" s="404"/>
    </row>
    <row r="69" spans="1:21" s="171" customFormat="1" ht="38.1" customHeight="1">
      <c r="A69" s="404" t="s">
        <v>1142</v>
      </c>
      <c r="B69" s="404"/>
      <c r="C69" s="404"/>
      <c r="D69" s="404"/>
      <c r="E69" s="404"/>
      <c r="F69" s="404"/>
      <c r="G69" s="404"/>
      <c r="H69" s="404"/>
      <c r="I69" s="404"/>
      <c r="J69" s="404"/>
      <c r="K69" s="404"/>
      <c r="L69" s="404"/>
      <c r="M69" s="404"/>
      <c r="N69" s="404"/>
      <c r="O69" s="404"/>
      <c r="P69" s="404"/>
      <c r="Q69" s="404"/>
      <c r="R69" s="404"/>
      <c r="S69" s="404"/>
      <c r="T69" s="404"/>
      <c r="U69" s="404"/>
    </row>
    <row r="70" spans="1:21" s="146" customFormat="1" ht="47.25" customHeight="1">
      <c r="A70" s="408"/>
      <c r="B70" s="287" t="s">
        <v>0</v>
      </c>
      <c r="C70" s="496" t="s">
        <v>626</v>
      </c>
      <c r="D70" s="496"/>
      <c r="E70" s="496"/>
      <c r="F70" s="497" t="s">
        <v>758</v>
      </c>
      <c r="G70" s="497"/>
      <c r="H70" s="497"/>
      <c r="I70" s="497"/>
      <c r="J70" s="497"/>
      <c r="K70" s="497" t="s">
        <v>759</v>
      </c>
      <c r="L70" s="497"/>
      <c r="M70" s="497"/>
      <c r="N70" s="497"/>
      <c r="O70" s="497"/>
      <c r="P70" s="497" t="s">
        <v>760</v>
      </c>
      <c r="Q70" s="497"/>
      <c r="R70" s="497"/>
      <c r="S70" s="497"/>
      <c r="T70" s="497"/>
      <c r="U70" s="408"/>
    </row>
    <row r="71" spans="1:21" s="146" customFormat="1" ht="54.95" customHeight="1">
      <c r="A71" s="408"/>
      <c r="B71" s="283" t="s">
        <v>1143</v>
      </c>
      <c r="C71" s="498" t="s">
        <v>1144</v>
      </c>
      <c r="D71" s="498"/>
      <c r="E71" s="498"/>
      <c r="F71" s="499" t="s">
        <v>1145</v>
      </c>
      <c r="G71" s="499"/>
      <c r="H71" s="499"/>
      <c r="I71" s="499"/>
      <c r="J71" s="499"/>
      <c r="K71" s="500">
        <f>51911*1</f>
        <v>51911</v>
      </c>
      <c r="L71" s="500"/>
      <c r="M71" s="500"/>
      <c r="N71" s="500"/>
      <c r="O71" s="500"/>
      <c r="P71" s="500">
        <f>51911*1.5</f>
        <v>77866.5</v>
      </c>
      <c r="Q71" s="500"/>
      <c r="R71" s="500"/>
      <c r="S71" s="500"/>
      <c r="T71" s="500"/>
      <c r="U71" s="408"/>
    </row>
    <row r="72" spans="1:21" s="146" customFormat="1" ht="54.95" customHeight="1">
      <c r="A72" s="408"/>
      <c r="B72" s="283" t="s">
        <v>1146</v>
      </c>
      <c r="C72" s="498" t="s">
        <v>1147</v>
      </c>
      <c r="D72" s="498"/>
      <c r="E72" s="498"/>
      <c r="F72" s="499" t="s">
        <v>1145</v>
      </c>
      <c r="G72" s="499"/>
      <c r="H72" s="499"/>
      <c r="I72" s="499"/>
      <c r="J72" s="499"/>
      <c r="K72" s="500">
        <f>567*14</f>
        <v>7938</v>
      </c>
      <c r="L72" s="500"/>
      <c r="M72" s="500"/>
      <c r="N72" s="500"/>
      <c r="O72" s="500"/>
      <c r="P72" s="500">
        <f>567*14</f>
        <v>7938</v>
      </c>
      <c r="Q72" s="500"/>
      <c r="R72" s="500"/>
      <c r="S72" s="500"/>
      <c r="T72" s="500"/>
      <c r="U72" s="408"/>
    </row>
    <row r="73" spans="1:21" s="146" customFormat="1" ht="54.95" customHeight="1">
      <c r="A73" s="408"/>
      <c r="B73" s="283" t="s">
        <v>1148</v>
      </c>
      <c r="C73" s="498" t="s">
        <v>1149</v>
      </c>
      <c r="D73" s="498"/>
      <c r="E73" s="498"/>
      <c r="F73" s="499" t="s">
        <v>1145</v>
      </c>
      <c r="G73" s="499"/>
      <c r="H73" s="499"/>
      <c r="I73" s="499"/>
      <c r="J73" s="499"/>
      <c r="K73" s="500">
        <f>1631*14</f>
        <v>22834</v>
      </c>
      <c r="L73" s="500"/>
      <c r="M73" s="500"/>
      <c r="N73" s="500"/>
      <c r="O73" s="500"/>
      <c r="P73" s="500">
        <f>(1631*14)+(1631*14*20%)</f>
        <v>27400.799999999999</v>
      </c>
      <c r="Q73" s="500"/>
      <c r="R73" s="500"/>
      <c r="S73" s="500"/>
      <c r="T73" s="500"/>
      <c r="U73" s="408"/>
    </row>
    <row r="74" spans="1:21" s="146" customFormat="1" ht="54.95" customHeight="1">
      <c r="A74" s="408"/>
      <c r="B74" s="283" t="s">
        <v>1150</v>
      </c>
      <c r="C74" s="498" t="s">
        <v>1151</v>
      </c>
      <c r="D74" s="498"/>
      <c r="E74" s="498"/>
      <c r="F74" s="499" t="s">
        <v>1145</v>
      </c>
      <c r="G74" s="499"/>
      <c r="H74" s="499"/>
      <c r="I74" s="499"/>
      <c r="J74" s="499"/>
      <c r="K74" s="500">
        <f>1040*5</f>
        <v>5200</v>
      </c>
      <c r="L74" s="500"/>
      <c r="M74" s="500"/>
      <c r="N74" s="500"/>
      <c r="O74" s="500"/>
      <c r="P74" s="500">
        <f>(1040*5)+(1040*5*20%)</f>
        <v>6240</v>
      </c>
      <c r="Q74" s="500"/>
      <c r="R74" s="500"/>
      <c r="S74" s="500"/>
      <c r="T74" s="500"/>
      <c r="U74" s="408"/>
    </row>
    <row r="75" spans="1:21" s="146" customFormat="1" ht="54.95" customHeight="1">
      <c r="A75" s="408"/>
      <c r="B75" s="283" t="s">
        <v>1152</v>
      </c>
      <c r="C75" s="498" t="s">
        <v>1153</v>
      </c>
      <c r="D75" s="498"/>
      <c r="E75" s="498"/>
      <c r="F75" s="499" t="s">
        <v>1145</v>
      </c>
      <c r="G75" s="499"/>
      <c r="H75" s="499"/>
      <c r="I75" s="499"/>
      <c r="J75" s="499"/>
      <c r="K75" s="500">
        <f>(829*5)</f>
        <v>4145</v>
      </c>
      <c r="L75" s="500"/>
      <c r="M75" s="500"/>
      <c r="N75" s="500"/>
      <c r="O75" s="500"/>
      <c r="P75" s="500">
        <f>(829*5)+(829*5*20%)</f>
        <v>4974</v>
      </c>
      <c r="Q75" s="500"/>
      <c r="R75" s="500"/>
      <c r="S75" s="500"/>
      <c r="T75" s="500"/>
      <c r="U75" s="408"/>
    </row>
    <row r="76" spans="1:21" s="146" customFormat="1" ht="54.95" customHeight="1">
      <c r="A76" s="408"/>
      <c r="B76" s="283" t="s">
        <v>1154</v>
      </c>
      <c r="C76" s="498" t="s">
        <v>1155</v>
      </c>
      <c r="D76" s="498"/>
      <c r="E76" s="498"/>
      <c r="F76" s="499" t="s">
        <v>1145</v>
      </c>
      <c r="G76" s="499"/>
      <c r="H76" s="499"/>
      <c r="I76" s="499"/>
      <c r="J76" s="499"/>
      <c r="K76" s="500">
        <f>127691*12</f>
        <v>1532292</v>
      </c>
      <c r="L76" s="500"/>
      <c r="M76" s="500"/>
      <c r="N76" s="500"/>
      <c r="O76" s="500"/>
      <c r="P76" s="500">
        <f>127691*18</f>
        <v>2298438</v>
      </c>
      <c r="Q76" s="500"/>
      <c r="R76" s="500"/>
      <c r="S76" s="500"/>
      <c r="T76" s="500"/>
      <c r="U76" s="408"/>
    </row>
    <row r="77" spans="1:21" s="146" customFormat="1" ht="54.95" customHeight="1">
      <c r="A77" s="408"/>
      <c r="B77" s="283" t="s">
        <v>1156</v>
      </c>
      <c r="C77" s="498" t="s">
        <v>600</v>
      </c>
      <c r="D77" s="498"/>
      <c r="E77" s="498"/>
      <c r="F77" s="499" t="s">
        <v>1157</v>
      </c>
      <c r="G77" s="499"/>
      <c r="H77" s="499"/>
      <c r="I77" s="499"/>
      <c r="J77" s="499"/>
      <c r="K77" s="500">
        <v>10817111</v>
      </c>
      <c r="L77" s="500"/>
      <c r="M77" s="500"/>
      <c r="N77" s="500"/>
      <c r="O77" s="500"/>
      <c r="P77" s="500">
        <f>(10817111)+(10817111*20%)</f>
        <v>12980533.199999999</v>
      </c>
      <c r="Q77" s="500"/>
      <c r="R77" s="500"/>
      <c r="S77" s="500"/>
      <c r="T77" s="500"/>
      <c r="U77" s="408"/>
    </row>
    <row r="78" spans="1:21" s="146" customFormat="1" ht="54.95" customHeight="1">
      <c r="A78" s="408"/>
      <c r="B78" s="283" t="s">
        <v>1158</v>
      </c>
      <c r="C78" s="498" t="s">
        <v>599</v>
      </c>
      <c r="D78" s="498"/>
      <c r="E78" s="498"/>
      <c r="F78" s="499" t="s">
        <v>1157</v>
      </c>
      <c r="G78" s="499"/>
      <c r="H78" s="499"/>
      <c r="I78" s="499"/>
      <c r="J78" s="499"/>
      <c r="K78" s="500">
        <v>662363361</v>
      </c>
      <c r="L78" s="500"/>
      <c r="M78" s="500"/>
      <c r="N78" s="500"/>
      <c r="O78" s="500"/>
      <c r="P78" s="500">
        <f>(662363361)+(662363361*20%)</f>
        <v>794836033.20000005</v>
      </c>
      <c r="Q78" s="500"/>
      <c r="R78" s="500"/>
      <c r="S78" s="500"/>
      <c r="T78" s="500"/>
      <c r="U78" s="408"/>
    </row>
    <row r="79" spans="1:21" s="146" customFormat="1" ht="54.95" customHeight="1">
      <c r="A79" s="408"/>
      <c r="B79" s="283" t="s">
        <v>1159</v>
      </c>
      <c r="C79" s="498" t="s">
        <v>1160</v>
      </c>
      <c r="D79" s="498"/>
      <c r="E79" s="498"/>
      <c r="F79" s="499" t="s">
        <v>1161</v>
      </c>
      <c r="G79" s="499"/>
      <c r="H79" s="499"/>
      <c r="I79" s="499"/>
      <c r="J79" s="499"/>
      <c r="K79" s="500">
        <v>150000</v>
      </c>
      <c r="L79" s="500"/>
      <c r="M79" s="500"/>
      <c r="N79" s="500"/>
      <c r="O79" s="500"/>
      <c r="P79" s="500">
        <f>K79+(K79*25%)</f>
        <v>187500</v>
      </c>
      <c r="Q79" s="500"/>
      <c r="R79" s="500"/>
      <c r="S79" s="500"/>
      <c r="T79" s="500"/>
      <c r="U79" s="408"/>
    </row>
    <row r="80" spans="1:21" s="146" customFormat="1" ht="79.5" customHeight="1">
      <c r="A80" s="408"/>
      <c r="B80" s="283" t="s">
        <v>1162</v>
      </c>
      <c r="C80" s="498" t="s">
        <v>1163</v>
      </c>
      <c r="D80" s="498"/>
      <c r="E80" s="498"/>
      <c r="F80" s="499" t="s">
        <v>1145</v>
      </c>
      <c r="G80" s="499"/>
      <c r="H80" s="499"/>
      <c r="I80" s="499"/>
      <c r="J80" s="499"/>
      <c r="K80" s="500">
        <v>200</v>
      </c>
      <c r="L80" s="500"/>
      <c r="M80" s="500"/>
      <c r="N80" s="500"/>
      <c r="O80" s="500"/>
      <c r="P80" s="500">
        <v>500</v>
      </c>
      <c r="Q80" s="500"/>
      <c r="R80" s="500"/>
      <c r="S80" s="500"/>
      <c r="T80" s="500"/>
      <c r="U80" s="408"/>
    </row>
    <row r="81" spans="1:21" s="146" customFormat="1" ht="90" customHeight="1">
      <c r="A81" s="408"/>
      <c r="B81" s="283" t="s">
        <v>1164</v>
      </c>
      <c r="C81" s="498" t="s">
        <v>1165</v>
      </c>
      <c r="D81" s="498"/>
      <c r="E81" s="498"/>
      <c r="F81" s="499" t="s">
        <v>1166</v>
      </c>
      <c r="G81" s="499"/>
      <c r="H81" s="499"/>
      <c r="I81" s="499"/>
      <c r="J81" s="499"/>
      <c r="K81" s="500">
        <v>170</v>
      </c>
      <c r="L81" s="500"/>
      <c r="M81" s="500"/>
      <c r="N81" s="500"/>
      <c r="O81" s="500"/>
      <c r="P81" s="500">
        <v>250</v>
      </c>
      <c r="Q81" s="500"/>
      <c r="R81" s="500"/>
      <c r="S81" s="500"/>
      <c r="T81" s="500"/>
      <c r="U81" s="408"/>
    </row>
    <row r="82" spans="1:21" s="146" customFormat="1" ht="85.5" customHeight="1">
      <c r="A82" s="408"/>
      <c r="B82" s="283" t="s">
        <v>1167</v>
      </c>
      <c r="C82" s="498" t="s">
        <v>1168</v>
      </c>
      <c r="D82" s="498"/>
      <c r="E82" s="498"/>
      <c r="F82" s="499" t="s">
        <v>1166</v>
      </c>
      <c r="G82" s="499"/>
      <c r="H82" s="499"/>
      <c r="I82" s="499"/>
      <c r="J82" s="499"/>
      <c r="K82" s="500">
        <v>190</v>
      </c>
      <c r="L82" s="500"/>
      <c r="M82" s="500"/>
      <c r="N82" s="500"/>
      <c r="O82" s="500"/>
      <c r="P82" s="500">
        <v>250</v>
      </c>
      <c r="Q82" s="500"/>
      <c r="R82" s="500"/>
      <c r="S82" s="500"/>
      <c r="T82" s="500"/>
      <c r="U82" s="408"/>
    </row>
    <row r="83" spans="1:21" s="146" customFormat="1" ht="54.95" customHeight="1">
      <c r="A83" s="408"/>
      <c r="B83" s="501" t="s">
        <v>677</v>
      </c>
      <c r="C83" s="501"/>
      <c r="D83" s="501"/>
      <c r="E83" s="501"/>
      <c r="F83" s="501"/>
      <c r="G83" s="501"/>
      <c r="H83" s="501"/>
      <c r="I83" s="501"/>
      <c r="J83" s="501"/>
      <c r="K83" s="501"/>
      <c r="L83" s="501"/>
      <c r="M83" s="501"/>
      <c r="N83" s="501"/>
      <c r="O83" s="501"/>
      <c r="P83" s="501"/>
      <c r="Q83" s="501"/>
      <c r="R83" s="501"/>
      <c r="S83" s="501"/>
      <c r="T83" s="501"/>
      <c r="U83" s="408"/>
    </row>
    <row r="84" spans="1:21" s="146" customFormat="1" ht="54.95" customHeight="1">
      <c r="A84" s="408"/>
      <c r="B84" s="451" t="s">
        <v>0</v>
      </c>
      <c r="C84" s="496" t="s">
        <v>677</v>
      </c>
      <c r="D84" s="502" t="s">
        <v>678</v>
      </c>
      <c r="E84" s="497" t="s">
        <v>679</v>
      </c>
      <c r="F84" s="497"/>
      <c r="G84" s="497"/>
      <c r="H84" s="497"/>
      <c r="I84" s="497"/>
      <c r="J84" s="497"/>
      <c r="K84" s="497"/>
      <c r="L84" s="497"/>
      <c r="M84" s="497" t="s">
        <v>680</v>
      </c>
      <c r="N84" s="497"/>
      <c r="O84" s="497"/>
      <c r="P84" s="497"/>
      <c r="Q84" s="497"/>
      <c r="R84" s="497"/>
      <c r="S84" s="497"/>
      <c r="T84" s="497"/>
      <c r="U84" s="408"/>
    </row>
    <row r="85" spans="1:21" s="146" customFormat="1" ht="69.75" customHeight="1">
      <c r="A85" s="408"/>
      <c r="B85" s="451"/>
      <c r="C85" s="496"/>
      <c r="D85" s="503"/>
      <c r="E85" s="480" t="s">
        <v>681</v>
      </c>
      <c r="F85" s="480"/>
      <c r="G85" s="480" t="s">
        <v>682</v>
      </c>
      <c r="H85" s="480"/>
      <c r="I85" s="480" t="s">
        <v>683</v>
      </c>
      <c r="J85" s="480"/>
      <c r="K85" s="480" t="s">
        <v>684</v>
      </c>
      <c r="L85" s="480"/>
      <c r="M85" s="480" t="s">
        <v>681</v>
      </c>
      <c r="N85" s="480"/>
      <c r="O85" s="480" t="s">
        <v>682</v>
      </c>
      <c r="P85" s="480"/>
      <c r="Q85" s="480" t="s">
        <v>683</v>
      </c>
      <c r="R85" s="480"/>
      <c r="S85" s="480" t="s">
        <v>684</v>
      </c>
      <c r="T85" s="480"/>
      <c r="U85" s="408"/>
    </row>
    <row r="86" spans="1:21" s="146" customFormat="1" ht="54.95" customHeight="1">
      <c r="A86" s="408"/>
      <c r="B86" s="283" t="s">
        <v>629</v>
      </c>
      <c r="C86" s="288" t="s">
        <v>685</v>
      </c>
      <c r="D86" s="227" t="s">
        <v>686</v>
      </c>
      <c r="E86" s="504">
        <v>0</v>
      </c>
      <c r="F86" s="504"/>
      <c r="G86" s="504">
        <v>10</v>
      </c>
      <c r="H86" s="504"/>
      <c r="I86" s="504">
        <v>20</v>
      </c>
      <c r="J86" s="504"/>
      <c r="K86" s="504">
        <v>10</v>
      </c>
      <c r="L86" s="504"/>
      <c r="M86" s="504">
        <v>5</v>
      </c>
      <c r="N86" s="504"/>
      <c r="O86" s="504">
        <v>20</v>
      </c>
      <c r="P86" s="504"/>
      <c r="Q86" s="504">
        <v>30</v>
      </c>
      <c r="R86" s="504"/>
      <c r="S86" s="504">
        <v>20</v>
      </c>
      <c r="T86" s="504"/>
      <c r="U86" s="408"/>
    </row>
    <row r="87" spans="1:21" s="146" customFormat="1" ht="54.95" customHeight="1">
      <c r="A87" s="408"/>
      <c r="B87" s="451" t="s">
        <v>0</v>
      </c>
      <c r="C87" s="496" t="s">
        <v>677</v>
      </c>
      <c r="D87" s="502" t="s">
        <v>687</v>
      </c>
      <c r="E87" s="497" t="s">
        <v>679</v>
      </c>
      <c r="F87" s="497"/>
      <c r="G87" s="497"/>
      <c r="H87" s="497"/>
      <c r="I87" s="497"/>
      <c r="J87" s="497"/>
      <c r="K87" s="497"/>
      <c r="L87" s="497"/>
      <c r="M87" s="497" t="s">
        <v>680</v>
      </c>
      <c r="N87" s="497"/>
      <c r="O87" s="497"/>
      <c r="P87" s="497"/>
      <c r="Q87" s="497"/>
      <c r="R87" s="497"/>
      <c r="S87" s="497"/>
      <c r="T87" s="497"/>
      <c r="U87" s="408"/>
    </row>
    <row r="88" spans="1:21" s="146" customFormat="1" ht="129.75" customHeight="1">
      <c r="A88" s="408"/>
      <c r="B88" s="451"/>
      <c r="C88" s="496"/>
      <c r="D88" s="503"/>
      <c r="E88" s="303" t="s">
        <v>688</v>
      </c>
      <c r="F88" s="303" t="s">
        <v>689</v>
      </c>
      <c r="G88" s="303" t="s">
        <v>690</v>
      </c>
      <c r="H88" s="303" t="s">
        <v>691</v>
      </c>
      <c r="I88" s="303" t="s">
        <v>692</v>
      </c>
      <c r="J88" s="304" t="s">
        <v>693</v>
      </c>
      <c r="K88" s="303" t="s">
        <v>694</v>
      </c>
      <c r="L88" s="303" t="s">
        <v>695</v>
      </c>
      <c r="M88" s="303" t="s">
        <v>688</v>
      </c>
      <c r="N88" s="303" t="s">
        <v>689</v>
      </c>
      <c r="O88" s="303" t="s">
        <v>690</v>
      </c>
      <c r="P88" s="303" t="s">
        <v>691</v>
      </c>
      <c r="Q88" s="303" t="s">
        <v>692</v>
      </c>
      <c r="R88" s="304" t="s">
        <v>693</v>
      </c>
      <c r="S88" s="303" t="s">
        <v>694</v>
      </c>
      <c r="T88" s="303" t="s">
        <v>695</v>
      </c>
      <c r="U88" s="408"/>
    </row>
    <row r="89" spans="1:21" s="146" customFormat="1" ht="54.95" customHeight="1">
      <c r="A89" s="408"/>
      <c r="B89" s="283" t="s">
        <v>630</v>
      </c>
      <c r="C89" s="288" t="s">
        <v>696</v>
      </c>
      <c r="D89" s="227" t="s">
        <v>686</v>
      </c>
      <c r="E89" s="229">
        <v>90</v>
      </c>
      <c r="F89" s="229">
        <v>0</v>
      </c>
      <c r="G89" s="229">
        <v>5</v>
      </c>
      <c r="H89" s="229">
        <v>0</v>
      </c>
      <c r="I89" s="229">
        <v>4</v>
      </c>
      <c r="J89" s="229">
        <v>4</v>
      </c>
      <c r="K89" s="229">
        <v>0</v>
      </c>
      <c r="L89" s="229">
        <v>10</v>
      </c>
      <c r="M89" s="229">
        <v>125</v>
      </c>
      <c r="N89" s="229">
        <v>5</v>
      </c>
      <c r="O89" s="229">
        <v>30</v>
      </c>
      <c r="P89" s="229">
        <v>5</v>
      </c>
      <c r="Q89" s="229">
        <v>10</v>
      </c>
      <c r="R89" s="229">
        <v>10</v>
      </c>
      <c r="S89" s="229">
        <v>5</v>
      </c>
      <c r="T89" s="229">
        <v>25</v>
      </c>
      <c r="U89" s="408"/>
    </row>
    <row r="90" spans="1:21" s="146" customFormat="1" ht="54.95" customHeight="1">
      <c r="A90" s="408"/>
      <c r="B90" s="451" t="s">
        <v>0</v>
      </c>
      <c r="C90" s="496" t="s">
        <v>626</v>
      </c>
      <c r="D90" s="505" t="s">
        <v>697</v>
      </c>
      <c r="E90" s="497" t="s">
        <v>679</v>
      </c>
      <c r="F90" s="497"/>
      <c r="G90" s="497"/>
      <c r="H90" s="497"/>
      <c r="I90" s="497"/>
      <c r="J90" s="497"/>
      <c r="K90" s="497"/>
      <c r="L90" s="497"/>
      <c r="M90" s="497" t="s">
        <v>680</v>
      </c>
      <c r="N90" s="497"/>
      <c r="O90" s="497"/>
      <c r="P90" s="497"/>
      <c r="Q90" s="497"/>
      <c r="R90" s="497"/>
      <c r="S90" s="497"/>
      <c r="T90" s="497"/>
      <c r="U90" s="408"/>
    </row>
    <row r="91" spans="1:21" s="146" customFormat="1" ht="114" customHeight="1">
      <c r="A91" s="408"/>
      <c r="B91" s="451"/>
      <c r="C91" s="496"/>
      <c r="D91" s="506"/>
      <c r="E91" s="303" t="s">
        <v>698</v>
      </c>
      <c r="F91" s="303" t="s">
        <v>699</v>
      </c>
      <c r="G91" s="303" t="s">
        <v>700</v>
      </c>
      <c r="H91" s="303" t="s">
        <v>701</v>
      </c>
      <c r="I91" s="480" t="s">
        <v>702</v>
      </c>
      <c r="J91" s="480"/>
      <c r="K91" s="480" t="s">
        <v>703</v>
      </c>
      <c r="L91" s="480"/>
      <c r="M91" s="303" t="s">
        <v>698</v>
      </c>
      <c r="N91" s="303" t="s">
        <v>699</v>
      </c>
      <c r="O91" s="303" t="s">
        <v>700</v>
      </c>
      <c r="P91" s="303" t="s">
        <v>701</v>
      </c>
      <c r="Q91" s="480" t="s">
        <v>702</v>
      </c>
      <c r="R91" s="480"/>
      <c r="S91" s="480" t="s">
        <v>703</v>
      </c>
      <c r="T91" s="480"/>
      <c r="U91" s="408"/>
    </row>
    <row r="92" spans="1:21" s="146" customFormat="1" ht="73.5" customHeight="1">
      <c r="A92" s="408"/>
      <c r="B92" s="283" t="s">
        <v>631</v>
      </c>
      <c r="C92" s="288" t="s">
        <v>704</v>
      </c>
      <c r="D92" s="229" t="s">
        <v>2</v>
      </c>
      <c r="E92" s="229">
        <v>25</v>
      </c>
      <c r="F92" s="229">
        <v>5</v>
      </c>
      <c r="G92" s="229">
        <v>30</v>
      </c>
      <c r="H92" s="229">
        <v>10</v>
      </c>
      <c r="I92" s="504">
        <v>3</v>
      </c>
      <c r="J92" s="504"/>
      <c r="K92" s="504">
        <v>100</v>
      </c>
      <c r="L92" s="504"/>
      <c r="M92" s="229">
        <v>40</v>
      </c>
      <c r="N92" s="229">
        <v>10</v>
      </c>
      <c r="O92" s="229">
        <v>50</v>
      </c>
      <c r="P92" s="229">
        <v>18</v>
      </c>
      <c r="Q92" s="504">
        <v>10</v>
      </c>
      <c r="R92" s="504"/>
      <c r="S92" s="504">
        <v>200</v>
      </c>
      <c r="T92" s="504"/>
      <c r="U92" s="408"/>
    </row>
    <row r="93" spans="1:21" ht="65.099999999999994" customHeight="1">
      <c r="A93" s="406"/>
      <c r="B93" s="406"/>
      <c r="C93" s="406"/>
      <c r="D93" s="406"/>
      <c r="E93" s="406"/>
      <c r="F93" s="406"/>
      <c r="G93" s="406"/>
      <c r="H93" s="406"/>
      <c r="I93" s="406"/>
      <c r="J93" s="406"/>
      <c r="K93" s="406"/>
      <c r="L93" s="406"/>
      <c r="M93" s="406"/>
      <c r="N93" s="406"/>
      <c r="O93" s="406"/>
      <c r="P93" s="406"/>
      <c r="Q93" s="406"/>
      <c r="R93" s="406"/>
      <c r="S93" s="406"/>
      <c r="T93" s="406"/>
      <c r="U93" s="406"/>
    </row>
  </sheetData>
  <mergeCells count="164">
    <mergeCell ref="A93:U93"/>
    <mergeCell ref="I92:J92"/>
    <mergeCell ref="K92:L92"/>
    <mergeCell ref="Q92:R92"/>
    <mergeCell ref="S92:T92"/>
    <mergeCell ref="B90:B91"/>
    <mergeCell ref="C90:C91"/>
    <mergeCell ref="D90:D91"/>
    <mergeCell ref="E90:L90"/>
    <mergeCell ref="M90:T90"/>
    <mergeCell ref="I91:J91"/>
    <mergeCell ref="K91:L91"/>
    <mergeCell ref="Q91:R91"/>
    <mergeCell ref="S91:T91"/>
    <mergeCell ref="Q86:R86"/>
    <mergeCell ref="S86:T86"/>
    <mergeCell ref="B87:B88"/>
    <mergeCell ref="C87:C88"/>
    <mergeCell ref="D87:D88"/>
    <mergeCell ref="E87:L87"/>
    <mergeCell ref="M87:T87"/>
    <mergeCell ref="M85:N85"/>
    <mergeCell ref="O85:P85"/>
    <mergeCell ref="Q85:R85"/>
    <mergeCell ref="S85:T85"/>
    <mergeCell ref="E86:F86"/>
    <mergeCell ref="G86:H86"/>
    <mergeCell ref="I86:J86"/>
    <mergeCell ref="K86:L86"/>
    <mergeCell ref="M86:N86"/>
    <mergeCell ref="O86:P86"/>
    <mergeCell ref="B83:T83"/>
    <mergeCell ref="B84:B85"/>
    <mergeCell ref="C84:C85"/>
    <mergeCell ref="D84:D85"/>
    <mergeCell ref="E84:L84"/>
    <mergeCell ref="M84:T84"/>
    <mergeCell ref="E85:F85"/>
    <mergeCell ref="G85:H85"/>
    <mergeCell ref="I85:J85"/>
    <mergeCell ref="K85:L85"/>
    <mergeCell ref="C81:E81"/>
    <mergeCell ref="F81:J81"/>
    <mergeCell ref="K81:O81"/>
    <mergeCell ref="P81:T81"/>
    <mergeCell ref="C82:E82"/>
    <mergeCell ref="F82:J82"/>
    <mergeCell ref="K82:O82"/>
    <mergeCell ref="P82:T82"/>
    <mergeCell ref="C79:E79"/>
    <mergeCell ref="F79:J79"/>
    <mergeCell ref="K79:O79"/>
    <mergeCell ref="P79:T79"/>
    <mergeCell ref="C80:E80"/>
    <mergeCell ref="F80:J80"/>
    <mergeCell ref="K80:O80"/>
    <mergeCell ref="P80:T80"/>
    <mergeCell ref="P72:T72"/>
    <mergeCell ref="C77:E77"/>
    <mergeCell ref="F77:J77"/>
    <mergeCell ref="K77:O77"/>
    <mergeCell ref="P77:T77"/>
    <mergeCell ref="C78:E78"/>
    <mergeCell ref="F78:J78"/>
    <mergeCell ref="K78:O78"/>
    <mergeCell ref="P78:T78"/>
    <mergeCell ref="C75:E75"/>
    <mergeCell ref="F75:J75"/>
    <mergeCell ref="K75:O75"/>
    <mergeCell ref="P75:T75"/>
    <mergeCell ref="C76:E76"/>
    <mergeCell ref="F76:J76"/>
    <mergeCell ref="K76:O76"/>
    <mergeCell ref="P76:T76"/>
    <mergeCell ref="A67:U67"/>
    <mergeCell ref="A68:U68"/>
    <mergeCell ref="A69:U69"/>
    <mergeCell ref="A70:A92"/>
    <mergeCell ref="C70:E70"/>
    <mergeCell ref="F70:J70"/>
    <mergeCell ref="K70:O70"/>
    <mergeCell ref="P70:T70"/>
    <mergeCell ref="U70:U92"/>
    <mergeCell ref="C71:E71"/>
    <mergeCell ref="C73:E73"/>
    <mergeCell ref="F73:J73"/>
    <mergeCell ref="K73:O73"/>
    <mergeCell ref="P73:T73"/>
    <mergeCell ref="C74:E74"/>
    <mergeCell ref="F74:J74"/>
    <mergeCell ref="K74:O74"/>
    <mergeCell ref="P74:T74"/>
    <mergeCell ref="F71:J71"/>
    <mergeCell ref="K71:O71"/>
    <mergeCell ref="P71:T71"/>
    <mergeCell ref="C72:E72"/>
    <mergeCell ref="F72:J72"/>
    <mergeCell ref="K72:O72"/>
    <mergeCell ref="A61:U61"/>
    <mergeCell ref="A62:U62"/>
    <mergeCell ref="A63:U63"/>
    <mergeCell ref="A64:U64"/>
    <mergeCell ref="A65:U65"/>
    <mergeCell ref="A66:U66"/>
    <mergeCell ref="A55:U55"/>
    <mergeCell ref="A56:U56"/>
    <mergeCell ref="A57:U57"/>
    <mergeCell ref="A58:U58"/>
    <mergeCell ref="A59:U59"/>
    <mergeCell ref="A60:U60"/>
    <mergeCell ref="A49:U49"/>
    <mergeCell ref="A50:U50"/>
    <mergeCell ref="A51:U51"/>
    <mergeCell ref="A52:U52"/>
    <mergeCell ref="A53:U53"/>
    <mergeCell ref="A54:U54"/>
    <mergeCell ref="A43:U43"/>
    <mergeCell ref="A44:U44"/>
    <mergeCell ref="A45:U45"/>
    <mergeCell ref="A46:U46"/>
    <mergeCell ref="A47:U47"/>
    <mergeCell ref="A48:U48"/>
    <mergeCell ref="A37:U37"/>
    <mergeCell ref="A38:U38"/>
    <mergeCell ref="A39:U39"/>
    <mergeCell ref="A40:U40"/>
    <mergeCell ref="A41:U41"/>
    <mergeCell ref="A42:U42"/>
    <mergeCell ref="A31:U31"/>
    <mergeCell ref="A32:U32"/>
    <mergeCell ref="A33:U33"/>
    <mergeCell ref="A34:U34"/>
    <mergeCell ref="A35:U35"/>
    <mergeCell ref="A36:U36"/>
    <mergeCell ref="A25:U25"/>
    <mergeCell ref="A26:U26"/>
    <mergeCell ref="A27:U27"/>
    <mergeCell ref="A28:U28"/>
    <mergeCell ref="A29:U29"/>
    <mergeCell ref="A30:U30"/>
    <mergeCell ref="A19:U19"/>
    <mergeCell ref="A20:U20"/>
    <mergeCell ref="A21:U21"/>
    <mergeCell ref="A22:U22"/>
    <mergeCell ref="A23:U23"/>
    <mergeCell ref="A24:U24"/>
    <mergeCell ref="A16:U16"/>
    <mergeCell ref="A17:U17"/>
    <mergeCell ref="A18:U18"/>
    <mergeCell ref="A7:U7"/>
    <mergeCell ref="A8:U8"/>
    <mergeCell ref="A9:U9"/>
    <mergeCell ref="A10:U10"/>
    <mergeCell ref="A11:U11"/>
    <mergeCell ref="A12:U12"/>
    <mergeCell ref="A1:U1"/>
    <mergeCell ref="A2:U2"/>
    <mergeCell ref="A3:U3"/>
    <mergeCell ref="A4:U4"/>
    <mergeCell ref="A5:U5"/>
    <mergeCell ref="A6:U6"/>
    <mergeCell ref="A13:U13"/>
    <mergeCell ref="A14:U14"/>
    <mergeCell ref="A15:U15"/>
  </mergeCells>
  <printOptions headings="1"/>
  <pageMargins left="0.7" right="0.7" top="0.75" bottom="0.75" header="0.3" footer="0.3"/>
  <pageSetup paperSize="9" scale="80" orientation="landscape" r:id="rId1"/>
  <rowBreaks count="2" manualBreakCount="2">
    <brk id="73" max="20" man="1"/>
    <brk id="82" max="16383" man="1"/>
  </rowBreaks>
  <ignoredErrors>
    <ignoredError sqref="B89 B92 B86" numberStoredAsText="1"/>
  </ignoredErrors>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1"/>
  <sheetViews>
    <sheetView showGridLines="0" rightToLeft="1" workbookViewId="0">
      <pane xSplit="14" topLeftCell="O1" activePane="topRight" state="frozen"/>
      <selection activeCell="F12" sqref="F12"/>
      <selection pane="topRight" sqref="A1:N1"/>
    </sheetView>
  </sheetViews>
  <sheetFormatPr defaultColWidth="10.6640625" defaultRowHeight="35.1" customHeight="1"/>
  <cols>
    <col min="1" max="1" width="7.6640625" style="35" customWidth="1"/>
    <col min="2" max="2" width="27.5" style="35" customWidth="1"/>
    <col min="3" max="3" width="13.1640625" style="35" customWidth="1"/>
    <col min="4" max="4" width="13.1640625" style="52" customWidth="1"/>
    <col min="5" max="13" width="10.1640625" style="52" customWidth="1"/>
    <col min="14" max="14" width="10.6640625" style="53" customWidth="1"/>
    <col min="15" max="18" width="8.6640625" style="32" customWidth="1"/>
    <col min="19" max="19" width="8.6640625" style="33" customWidth="1"/>
    <col min="20" max="20" width="13.33203125" style="34" customWidth="1"/>
    <col min="21" max="21" width="10.6640625" style="33"/>
    <col min="22" max="16384" width="10.6640625" style="35"/>
  </cols>
  <sheetData>
    <row r="1" spans="1:21" ht="42" customHeight="1">
      <c r="A1" s="466" t="s">
        <v>115</v>
      </c>
      <c r="B1" s="466"/>
      <c r="C1" s="466"/>
      <c r="D1" s="466"/>
      <c r="E1" s="466"/>
      <c r="F1" s="466"/>
      <c r="G1" s="466"/>
      <c r="H1" s="466"/>
      <c r="I1" s="466"/>
      <c r="J1" s="466"/>
      <c r="K1" s="466"/>
      <c r="L1" s="466"/>
      <c r="M1" s="466"/>
      <c r="N1" s="466"/>
    </row>
    <row r="2" spans="1:21" s="38" customFormat="1" ht="25.5" customHeight="1">
      <c r="A2" s="374" t="s">
        <v>0</v>
      </c>
      <c r="B2" s="374" t="s">
        <v>11</v>
      </c>
      <c r="C2" s="374" t="s">
        <v>102</v>
      </c>
      <c r="D2" s="375" t="s">
        <v>103</v>
      </c>
      <c r="E2" s="375" t="s">
        <v>104</v>
      </c>
      <c r="F2" s="375"/>
      <c r="G2" s="375"/>
      <c r="H2" s="375"/>
      <c r="I2" s="375"/>
      <c r="J2" s="375" t="s">
        <v>105</v>
      </c>
      <c r="K2" s="375"/>
      <c r="L2" s="375"/>
      <c r="M2" s="375"/>
      <c r="N2" s="375"/>
      <c r="O2" s="32"/>
      <c r="P2" s="32"/>
      <c r="Q2" s="32"/>
      <c r="R2" s="32"/>
      <c r="S2" s="36"/>
      <c r="T2" s="37"/>
      <c r="U2" s="36"/>
    </row>
    <row r="3" spans="1:21" s="38" customFormat="1" ht="20.100000000000001" customHeight="1">
      <c r="A3" s="374"/>
      <c r="B3" s="374"/>
      <c r="C3" s="374"/>
      <c r="D3" s="375"/>
      <c r="E3" s="375" t="s">
        <v>106</v>
      </c>
      <c r="F3" s="375"/>
      <c r="G3" s="461">
        <v>1397</v>
      </c>
      <c r="H3" s="461">
        <v>1398</v>
      </c>
      <c r="I3" s="461">
        <v>1399</v>
      </c>
      <c r="J3" s="461">
        <v>1400</v>
      </c>
      <c r="K3" s="461">
        <v>1401</v>
      </c>
      <c r="L3" s="461">
        <v>1402</v>
      </c>
      <c r="M3" s="461">
        <v>1403</v>
      </c>
      <c r="N3" s="461">
        <v>1404</v>
      </c>
      <c r="O3" s="32"/>
      <c r="P3" s="32"/>
      <c r="Q3" s="32"/>
      <c r="R3" s="32"/>
      <c r="S3" s="36"/>
      <c r="T3" s="37"/>
      <c r="U3" s="36"/>
    </row>
    <row r="4" spans="1:21" s="87" customFormat="1" ht="21.75" customHeight="1">
      <c r="A4" s="374"/>
      <c r="B4" s="374"/>
      <c r="C4" s="374"/>
      <c r="D4" s="375"/>
      <c r="E4" s="289">
        <v>1395</v>
      </c>
      <c r="F4" s="289">
        <v>1396</v>
      </c>
      <c r="G4" s="461"/>
      <c r="H4" s="461"/>
      <c r="I4" s="461"/>
      <c r="J4" s="461"/>
      <c r="K4" s="461"/>
      <c r="L4" s="461"/>
      <c r="M4" s="461"/>
      <c r="N4" s="461"/>
      <c r="O4" s="83"/>
      <c r="P4" s="83"/>
      <c r="Q4" s="84"/>
      <c r="R4" s="83"/>
      <c r="S4" s="85"/>
      <c r="T4" s="86"/>
      <c r="U4" s="85"/>
    </row>
    <row r="5" spans="1:21" s="87" customFormat="1" ht="30" customHeight="1">
      <c r="A5" s="290">
        <v>1</v>
      </c>
      <c r="B5" s="205" t="s">
        <v>14</v>
      </c>
      <c r="C5" s="206">
        <f>($A$200+$B$200)*'[31]نرخ تسهیم'!J3</f>
        <v>12.170516348416738</v>
      </c>
      <c r="D5" s="207">
        <f>C5*1.05</f>
        <v>12.779042165837575</v>
      </c>
      <c r="E5" s="207">
        <f t="shared" ref="E5:N5" si="0">D5*1.05</f>
        <v>13.417994274129455</v>
      </c>
      <c r="F5" s="207">
        <f t="shared" si="0"/>
        <v>14.088893987835929</v>
      </c>
      <c r="G5" s="207">
        <f t="shared" si="0"/>
        <v>14.793338687227726</v>
      </c>
      <c r="H5" s="207">
        <f t="shared" si="0"/>
        <v>15.533005621589112</v>
      </c>
      <c r="I5" s="207">
        <f t="shared" si="0"/>
        <v>16.309655902668567</v>
      </c>
      <c r="J5" s="207">
        <f t="shared" si="0"/>
        <v>17.125138697801997</v>
      </c>
      <c r="K5" s="207">
        <f t="shared" si="0"/>
        <v>17.981395632692099</v>
      </c>
      <c r="L5" s="207">
        <f t="shared" si="0"/>
        <v>18.880465414326704</v>
      </c>
      <c r="M5" s="207">
        <f t="shared" si="0"/>
        <v>19.82448868504304</v>
      </c>
      <c r="N5" s="207">
        <f t="shared" si="0"/>
        <v>20.815713119295193</v>
      </c>
      <c r="O5" s="83"/>
      <c r="P5" s="83"/>
      <c r="Q5" s="84"/>
      <c r="R5" s="84"/>
      <c r="S5" s="84"/>
      <c r="T5" s="86"/>
      <c r="U5" s="85"/>
    </row>
    <row r="6" spans="1:21" s="87" customFormat="1" ht="30" customHeight="1">
      <c r="A6" s="290">
        <v>2</v>
      </c>
      <c r="B6" s="205" t="s">
        <v>15</v>
      </c>
      <c r="C6" s="206">
        <f>($A$200+$B$200)*'[31]نرخ تسهیم'!J4</f>
        <v>8.2036977788909873</v>
      </c>
      <c r="D6" s="207">
        <f t="shared" ref="D6:N21" si="1">C6*1.05</f>
        <v>8.6138826678355365</v>
      </c>
      <c r="E6" s="207">
        <f t="shared" si="1"/>
        <v>9.0445768012273131</v>
      </c>
      <c r="F6" s="207">
        <f t="shared" si="1"/>
        <v>9.4968056412886792</v>
      </c>
      <c r="G6" s="207">
        <f t="shared" si="1"/>
        <v>9.9716459233531136</v>
      </c>
      <c r="H6" s="207">
        <f t="shared" si="1"/>
        <v>10.47022821952077</v>
      </c>
      <c r="I6" s="207">
        <f t="shared" si="1"/>
        <v>10.993739630496808</v>
      </c>
      <c r="J6" s="207">
        <f t="shared" si="1"/>
        <v>11.54342661202165</v>
      </c>
      <c r="K6" s="207">
        <f t="shared" si="1"/>
        <v>12.120597942622732</v>
      </c>
      <c r="L6" s="207">
        <f t="shared" si="1"/>
        <v>12.726627839753869</v>
      </c>
      <c r="M6" s="207">
        <f t="shared" si="1"/>
        <v>13.362959231741563</v>
      </c>
      <c r="N6" s="207">
        <f t="shared" si="1"/>
        <v>14.031107193328642</v>
      </c>
      <c r="O6" s="83"/>
      <c r="P6" s="83"/>
      <c r="Q6" s="84"/>
      <c r="R6" s="84"/>
      <c r="S6" s="84"/>
      <c r="T6" s="86"/>
      <c r="U6" s="85"/>
    </row>
    <row r="7" spans="1:21" s="87" customFormat="1" ht="30" customHeight="1">
      <c r="A7" s="290">
        <v>3</v>
      </c>
      <c r="B7" s="205" t="s">
        <v>16</v>
      </c>
      <c r="C7" s="206">
        <f>($A$200+$B$200)*'[31]نرخ تسهیم'!J5</f>
        <v>3.5724551492993024</v>
      </c>
      <c r="D7" s="207">
        <f t="shared" si="1"/>
        <v>3.7510779067642677</v>
      </c>
      <c r="E7" s="207">
        <f t="shared" si="1"/>
        <v>3.9386318021024813</v>
      </c>
      <c r="F7" s="207">
        <f t="shared" si="1"/>
        <v>4.1355633922076054</v>
      </c>
      <c r="G7" s="207">
        <f t="shared" si="1"/>
        <v>4.3423415618179861</v>
      </c>
      <c r="H7" s="207">
        <f t="shared" si="1"/>
        <v>4.5594586399088852</v>
      </c>
      <c r="I7" s="207">
        <f t="shared" si="1"/>
        <v>4.7874315719043299</v>
      </c>
      <c r="J7" s="207">
        <f t="shared" si="1"/>
        <v>5.0268031504995463</v>
      </c>
      <c r="K7" s="207">
        <f t="shared" si="1"/>
        <v>5.2781433080245241</v>
      </c>
      <c r="L7" s="207">
        <f t="shared" si="1"/>
        <v>5.5420504734257507</v>
      </c>
      <c r="M7" s="207">
        <f t="shared" si="1"/>
        <v>5.8191529970970386</v>
      </c>
      <c r="N7" s="207">
        <f t="shared" si="1"/>
        <v>6.1101106469518909</v>
      </c>
      <c r="O7" s="83"/>
      <c r="P7" s="83"/>
      <c r="Q7" s="84"/>
      <c r="R7" s="84"/>
      <c r="S7" s="84"/>
      <c r="T7" s="86"/>
      <c r="U7" s="85"/>
    </row>
    <row r="8" spans="1:21" s="87" customFormat="1" ht="30" customHeight="1">
      <c r="A8" s="290">
        <v>4</v>
      </c>
      <c r="B8" s="205" t="s">
        <v>17</v>
      </c>
      <c r="C8" s="206">
        <f>($A$200+$B$200)*'[31]نرخ تسهیم'!J6</f>
        <v>20.600219720329516</v>
      </c>
      <c r="D8" s="207">
        <f t="shared" si="1"/>
        <v>21.630230706345994</v>
      </c>
      <c r="E8" s="207">
        <f t="shared" si="1"/>
        <v>22.711742241663295</v>
      </c>
      <c r="F8" s="207">
        <f t="shared" si="1"/>
        <v>23.84732935374646</v>
      </c>
      <c r="G8" s="207">
        <f t="shared" si="1"/>
        <v>25.039695821433785</v>
      </c>
      <c r="H8" s="207">
        <f t="shared" si="1"/>
        <v>26.291680612505477</v>
      </c>
      <c r="I8" s="207">
        <f t="shared" si="1"/>
        <v>27.606264643130753</v>
      </c>
      <c r="J8" s="207">
        <f t="shared" si="1"/>
        <v>28.986577875287292</v>
      </c>
      <c r="K8" s="207">
        <f t="shared" si="1"/>
        <v>30.435906769051659</v>
      </c>
      <c r="L8" s="207">
        <f t="shared" si="1"/>
        <v>31.957702107504243</v>
      </c>
      <c r="M8" s="207">
        <f t="shared" si="1"/>
        <v>33.555587212879459</v>
      </c>
      <c r="N8" s="207">
        <f t="shared" si="1"/>
        <v>35.233366573523433</v>
      </c>
      <c r="O8" s="83"/>
      <c r="P8" s="83"/>
      <c r="Q8" s="84"/>
      <c r="R8" s="84"/>
      <c r="S8" s="84"/>
      <c r="T8" s="86"/>
      <c r="U8" s="85"/>
    </row>
    <row r="9" spans="1:21" s="87" customFormat="1" ht="30" customHeight="1">
      <c r="A9" s="290">
        <v>5</v>
      </c>
      <c r="B9" s="205" t="s">
        <v>18</v>
      </c>
      <c r="C9" s="206">
        <f>($A$200+$B$200)*'[31]نرخ تسهیم'!J7</f>
        <v>19.240205885757639</v>
      </c>
      <c r="D9" s="207">
        <f t="shared" si="1"/>
        <v>20.202216180045522</v>
      </c>
      <c r="E9" s="207">
        <f t="shared" si="1"/>
        <v>21.212326989047799</v>
      </c>
      <c r="F9" s="207">
        <f t="shared" si="1"/>
        <v>22.272943338500191</v>
      </c>
      <c r="G9" s="207">
        <f t="shared" si="1"/>
        <v>23.3865905054252</v>
      </c>
      <c r="H9" s="207">
        <f t="shared" si="1"/>
        <v>24.555920030696463</v>
      </c>
      <c r="I9" s="207">
        <f t="shared" si="1"/>
        <v>25.783716032231286</v>
      </c>
      <c r="J9" s="207">
        <f t="shared" si="1"/>
        <v>27.072901833842852</v>
      </c>
      <c r="K9" s="207">
        <f t="shared" si="1"/>
        <v>28.426546925534996</v>
      </c>
      <c r="L9" s="207">
        <f t="shared" si="1"/>
        <v>29.847874271811747</v>
      </c>
      <c r="M9" s="207">
        <f t="shared" si="1"/>
        <v>31.340267985402335</v>
      </c>
      <c r="N9" s="207">
        <f t="shared" si="1"/>
        <v>32.907281384672451</v>
      </c>
      <c r="O9" s="83"/>
      <c r="P9" s="83"/>
      <c r="Q9" s="84"/>
      <c r="R9" s="84"/>
      <c r="S9" s="84"/>
      <c r="T9" s="86"/>
      <c r="U9" s="85"/>
    </row>
    <row r="10" spans="1:21" s="87" customFormat="1" ht="30" customHeight="1">
      <c r="A10" s="290">
        <v>6</v>
      </c>
      <c r="B10" s="205" t="s">
        <v>19</v>
      </c>
      <c r="C10" s="206">
        <f>($A$200+$B$200)*'[31]نرخ تسهیم'!J8</f>
        <v>2.6592935853061102</v>
      </c>
      <c r="D10" s="207">
        <f t="shared" si="1"/>
        <v>2.7922582645714158</v>
      </c>
      <c r="E10" s="207">
        <f t="shared" si="1"/>
        <v>2.9318711777999868</v>
      </c>
      <c r="F10" s="207">
        <f t="shared" si="1"/>
        <v>3.0784647366899862</v>
      </c>
      <c r="G10" s="207">
        <f t="shared" si="1"/>
        <v>3.2323879735244856</v>
      </c>
      <c r="H10" s="207">
        <f t="shared" si="1"/>
        <v>3.39400737220071</v>
      </c>
      <c r="I10" s="207">
        <f t="shared" si="1"/>
        <v>3.5637077408107456</v>
      </c>
      <c r="J10" s="207">
        <f t="shared" si="1"/>
        <v>3.741893127851283</v>
      </c>
      <c r="K10" s="207">
        <f t="shared" si="1"/>
        <v>3.9289877842438474</v>
      </c>
      <c r="L10" s="207">
        <f t="shared" si="1"/>
        <v>4.1254371734560396</v>
      </c>
      <c r="M10" s="207">
        <f t="shared" si="1"/>
        <v>4.3317090321288418</v>
      </c>
      <c r="N10" s="207">
        <f t="shared" si="1"/>
        <v>4.5482944837352841</v>
      </c>
      <c r="O10" s="83"/>
      <c r="P10" s="83"/>
      <c r="Q10" s="84"/>
      <c r="R10" s="84"/>
      <c r="S10" s="84"/>
      <c r="T10" s="86"/>
      <c r="U10" s="85"/>
    </row>
    <row r="11" spans="1:21" s="87" customFormat="1" ht="30" customHeight="1">
      <c r="A11" s="290">
        <v>7</v>
      </c>
      <c r="B11" s="205" t="s">
        <v>20</v>
      </c>
      <c r="C11" s="206">
        <f>($A$200+$B$200)*'[31]نرخ تسهیم'!J9</f>
        <v>3.4707137137004227</v>
      </c>
      <c r="D11" s="207">
        <f t="shared" si="1"/>
        <v>3.6442493993854441</v>
      </c>
      <c r="E11" s="207">
        <f t="shared" si="1"/>
        <v>3.8264618693547163</v>
      </c>
      <c r="F11" s="207">
        <f t="shared" si="1"/>
        <v>4.0177849628224527</v>
      </c>
      <c r="G11" s="207">
        <f t="shared" si="1"/>
        <v>4.2186742109635755</v>
      </c>
      <c r="H11" s="207">
        <f t="shared" si="1"/>
        <v>4.4296079215117548</v>
      </c>
      <c r="I11" s="207">
        <f t="shared" si="1"/>
        <v>4.6510883175873428</v>
      </c>
      <c r="J11" s="207">
        <f t="shared" si="1"/>
        <v>4.8836427334667105</v>
      </c>
      <c r="K11" s="207">
        <f t="shared" si="1"/>
        <v>5.1278248701400466</v>
      </c>
      <c r="L11" s="207">
        <f t="shared" si="1"/>
        <v>5.3842161136470494</v>
      </c>
      <c r="M11" s="207">
        <f t="shared" si="1"/>
        <v>5.6534269193294024</v>
      </c>
      <c r="N11" s="207">
        <f t="shared" si="1"/>
        <v>5.9360982652958727</v>
      </c>
      <c r="O11" s="83"/>
      <c r="P11" s="83"/>
      <c r="Q11" s="84"/>
      <c r="R11" s="84"/>
      <c r="S11" s="84"/>
      <c r="T11" s="86"/>
      <c r="U11" s="85"/>
    </row>
    <row r="12" spans="1:21" s="87" customFormat="1" ht="30" customHeight="1">
      <c r="A12" s="290">
        <v>8</v>
      </c>
      <c r="B12" s="205" t="s">
        <v>21</v>
      </c>
      <c r="C12" s="206">
        <f>($A$200+$B$200)*'[31]نرخ تسهیم'!J10</f>
        <v>79.654863459722776</v>
      </c>
      <c r="D12" s="207">
        <f t="shared" si="1"/>
        <v>83.637606632708923</v>
      </c>
      <c r="E12" s="207">
        <f t="shared" si="1"/>
        <v>87.819486964344378</v>
      </c>
      <c r="F12" s="207">
        <f t="shared" si="1"/>
        <v>92.210461312561605</v>
      </c>
      <c r="G12" s="207">
        <f t="shared" si="1"/>
        <v>96.820984378189692</v>
      </c>
      <c r="H12" s="207">
        <f t="shared" si="1"/>
        <v>101.66203359709918</v>
      </c>
      <c r="I12" s="207">
        <f t="shared" si="1"/>
        <v>106.74513527695414</v>
      </c>
      <c r="J12" s="207">
        <f t="shared" si="1"/>
        <v>112.08239204080185</v>
      </c>
      <c r="K12" s="207">
        <f t="shared" si="1"/>
        <v>117.68651164284195</v>
      </c>
      <c r="L12" s="207">
        <f t="shared" si="1"/>
        <v>123.57083722498405</v>
      </c>
      <c r="M12" s="207">
        <f t="shared" si="1"/>
        <v>129.74937908623326</v>
      </c>
      <c r="N12" s="207">
        <f t="shared" si="1"/>
        <v>136.23684804054494</v>
      </c>
      <c r="O12" s="83"/>
      <c r="P12" s="83"/>
      <c r="Q12" s="84"/>
      <c r="R12" s="84"/>
      <c r="S12" s="84"/>
      <c r="T12" s="86"/>
      <c r="U12" s="85"/>
    </row>
    <row r="13" spans="1:21" s="87" customFormat="1" ht="30" customHeight="1">
      <c r="A13" s="290">
        <v>9</v>
      </c>
      <c r="B13" s="205" t="s">
        <v>22</v>
      </c>
      <c r="C13" s="206">
        <f>($A$200+$B$200)*'[31]نرخ تسهیم'!J11</f>
        <v>1.1591797469426646</v>
      </c>
      <c r="D13" s="207">
        <f t="shared" si="1"/>
        <v>1.2171387342897979</v>
      </c>
      <c r="E13" s="207">
        <f t="shared" si="1"/>
        <v>1.2779956710042879</v>
      </c>
      <c r="F13" s="207">
        <f t="shared" si="1"/>
        <v>1.3418954545545023</v>
      </c>
      <c r="G13" s="207">
        <f t="shared" si="1"/>
        <v>1.4089902272822274</v>
      </c>
      <c r="H13" s="207">
        <f t="shared" si="1"/>
        <v>1.4794397386463389</v>
      </c>
      <c r="I13" s="207">
        <f t="shared" si="1"/>
        <v>1.5534117255786559</v>
      </c>
      <c r="J13" s="207">
        <f t="shared" si="1"/>
        <v>1.6310823118575888</v>
      </c>
      <c r="K13" s="207">
        <f t="shared" si="1"/>
        <v>1.7126364274504684</v>
      </c>
      <c r="L13" s="207">
        <f t="shared" si="1"/>
        <v>1.798268248822992</v>
      </c>
      <c r="M13" s="207">
        <f t="shared" si="1"/>
        <v>1.8881816612641416</v>
      </c>
      <c r="N13" s="207">
        <f t="shared" si="1"/>
        <v>1.9825907443273487</v>
      </c>
      <c r="O13" s="83"/>
      <c r="P13" s="83"/>
      <c r="Q13" s="84"/>
      <c r="R13" s="84"/>
      <c r="S13" s="84"/>
      <c r="T13" s="86"/>
      <c r="U13" s="85"/>
    </row>
    <row r="14" spans="1:21" s="87" customFormat="1" ht="30" customHeight="1">
      <c r="A14" s="290">
        <v>10</v>
      </c>
      <c r="B14" s="205" t="s">
        <v>23</v>
      </c>
      <c r="C14" s="206">
        <f>($A$200+$B$200)*'[31]نرخ تسهیم'!J12</f>
        <v>3.4907418716356315</v>
      </c>
      <c r="D14" s="207">
        <f t="shared" si="1"/>
        <v>3.6652789652174134</v>
      </c>
      <c r="E14" s="207">
        <f t="shared" si="1"/>
        <v>3.8485429134782843</v>
      </c>
      <c r="F14" s="207">
        <f t="shared" si="1"/>
        <v>4.0409700591521984</v>
      </c>
      <c r="G14" s="207">
        <f t="shared" si="1"/>
        <v>4.2430185621098087</v>
      </c>
      <c r="H14" s="207">
        <f t="shared" si="1"/>
        <v>4.4551694902152992</v>
      </c>
      <c r="I14" s="207">
        <f t="shared" si="1"/>
        <v>4.6779279647260648</v>
      </c>
      <c r="J14" s="207">
        <f t="shared" si="1"/>
        <v>4.9118243629623679</v>
      </c>
      <c r="K14" s="207">
        <f t="shared" si="1"/>
        <v>5.1574155811104863</v>
      </c>
      <c r="L14" s="207">
        <f t="shared" si="1"/>
        <v>5.4152863601660108</v>
      </c>
      <c r="M14" s="207">
        <f t="shared" si="1"/>
        <v>5.6860506781743112</v>
      </c>
      <c r="N14" s="207">
        <f t="shared" si="1"/>
        <v>5.9703532120830269</v>
      </c>
      <c r="O14" s="83"/>
      <c r="P14" s="83"/>
      <c r="Q14" s="84"/>
      <c r="R14" s="84"/>
      <c r="S14" s="84"/>
      <c r="T14" s="86"/>
      <c r="U14" s="85"/>
    </row>
    <row r="15" spans="1:21" s="87" customFormat="1" ht="30" customHeight="1">
      <c r="A15" s="290">
        <v>11</v>
      </c>
      <c r="B15" s="205" t="s">
        <v>24</v>
      </c>
      <c r="C15" s="206">
        <f>($A$200+$B$200)*'[31]نرخ تسهیم'!J13</f>
        <v>8.4297927546725298</v>
      </c>
      <c r="D15" s="207">
        <f t="shared" si="1"/>
        <v>8.8512823924061568</v>
      </c>
      <c r="E15" s="207">
        <f t="shared" si="1"/>
        <v>9.2938465120264642</v>
      </c>
      <c r="F15" s="207">
        <f t="shared" si="1"/>
        <v>9.7585388376277873</v>
      </c>
      <c r="G15" s="207">
        <f t="shared" si="1"/>
        <v>10.246465779509178</v>
      </c>
      <c r="H15" s="207">
        <f t="shared" si="1"/>
        <v>10.758789068484637</v>
      </c>
      <c r="I15" s="207">
        <f t="shared" si="1"/>
        <v>11.29672852190887</v>
      </c>
      <c r="J15" s="207">
        <f t="shared" si="1"/>
        <v>11.861564948004315</v>
      </c>
      <c r="K15" s="207">
        <f t="shared" si="1"/>
        <v>12.454643195404531</v>
      </c>
      <c r="L15" s="207">
        <f t="shared" si="1"/>
        <v>13.077375355174757</v>
      </c>
      <c r="M15" s="207">
        <f t="shared" si="1"/>
        <v>13.731244122933495</v>
      </c>
      <c r="N15" s="207">
        <f t="shared" si="1"/>
        <v>14.41780632908017</v>
      </c>
      <c r="O15" s="83"/>
      <c r="P15" s="83"/>
      <c r="Q15" s="84"/>
      <c r="R15" s="84"/>
      <c r="S15" s="84"/>
      <c r="T15" s="86"/>
      <c r="U15" s="85"/>
    </row>
    <row r="16" spans="1:21" s="87" customFormat="1" ht="30" customHeight="1">
      <c r="A16" s="290">
        <v>12</v>
      </c>
      <c r="B16" s="205" t="s">
        <v>25</v>
      </c>
      <c r="C16" s="206">
        <f>($A$200+$B$200)*'[31]نرخ تسهیم'!J14</f>
        <v>26.025555672421664</v>
      </c>
      <c r="D16" s="207">
        <f t="shared" si="1"/>
        <v>27.326833456042749</v>
      </c>
      <c r="E16" s="207">
        <f t="shared" si="1"/>
        <v>28.693175128844889</v>
      </c>
      <c r="F16" s="207">
        <f t="shared" si="1"/>
        <v>30.127833885287135</v>
      </c>
      <c r="G16" s="207">
        <f t="shared" si="1"/>
        <v>31.634225579551494</v>
      </c>
      <c r="H16" s="207">
        <f t="shared" si="1"/>
        <v>33.215936858529069</v>
      </c>
      <c r="I16" s="207">
        <f t="shared" si="1"/>
        <v>34.876733701455521</v>
      </c>
      <c r="J16" s="207">
        <f t="shared" si="1"/>
        <v>36.6205703865283</v>
      </c>
      <c r="K16" s="207">
        <f t="shared" si="1"/>
        <v>38.451598905854716</v>
      </c>
      <c r="L16" s="207">
        <f t="shared" si="1"/>
        <v>40.374178851147455</v>
      </c>
      <c r="M16" s="207">
        <f t="shared" si="1"/>
        <v>42.39288779370483</v>
      </c>
      <c r="N16" s="207">
        <f t="shared" si="1"/>
        <v>44.512532183390071</v>
      </c>
      <c r="O16" s="83"/>
      <c r="P16" s="83"/>
      <c r="Q16" s="84"/>
      <c r="R16" s="84"/>
      <c r="S16" s="84"/>
      <c r="T16" s="86"/>
      <c r="U16" s="85"/>
    </row>
    <row r="17" spans="1:21" s="87" customFormat="1" ht="30" customHeight="1">
      <c r="A17" s="290">
        <v>13</v>
      </c>
      <c r="B17" s="205" t="s">
        <v>26</v>
      </c>
      <c r="C17" s="206">
        <f>($A$200+$B$200)*'[31]نرخ تسهیم'!J15</f>
        <v>2.7826118603397751</v>
      </c>
      <c r="D17" s="207">
        <f t="shared" si="1"/>
        <v>2.9217424533567642</v>
      </c>
      <c r="E17" s="207">
        <f t="shared" si="1"/>
        <v>3.0678295760246024</v>
      </c>
      <c r="F17" s="207">
        <f t="shared" si="1"/>
        <v>3.2212210548258327</v>
      </c>
      <c r="G17" s="207">
        <f t="shared" si="1"/>
        <v>3.3822821075671246</v>
      </c>
      <c r="H17" s="207">
        <f t="shared" si="1"/>
        <v>3.5513962129454808</v>
      </c>
      <c r="I17" s="207">
        <f t="shared" si="1"/>
        <v>3.7289660235927551</v>
      </c>
      <c r="J17" s="207">
        <f t="shared" si="1"/>
        <v>3.9154143247723932</v>
      </c>
      <c r="K17" s="207">
        <f t="shared" si="1"/>
        <v>4.1111850410110131</v>
      </c>
      <c r="L17" s="207">
        <f t="shared" si="1"/>
        <v>4.3167442930615643</v>
      </c>
      <c r="M17" s="207">
        <f t="shared" si="1"/>
        <v>4.5325815077146423</v>
      </c>
      <c r="N17" s="207">
        <f t="shared" si="1"/>
        <v>4.7592105831003746</v>
      </c>
      <c r="O17" s="83"/>
      <c r="P17" s="83"/>
      <c r="Q17" s="84"/>
      <c r="R17" s="84"/>
      <c r="S17" s="84"/>
      <c r="T17" s="86"/>
      <c r="U17" s="85"/>
    </row>
    <row r="18" spans="1:21" s="87" customFormat="1" ht="30" customHeight="1">
      <c r="A18" s="290">
        <v>14</v>
      </c>
      <c r="B18" s="205" t="s">
        <v>27</v>
      </c>
      <c r="C18" s="206">
        <f>($A$200+$B$200)*'[31]نرخ تسهیم'!J16</f>
        <v>15.095421456559265</v>
      </c>
      <c r="D18" s="207">
        <f t="shared" si="1"/>
        <v>15.850192529387229</v>
      </c>
      <c r="E18" s="207">
        <f t="shared" si="1"/>
        <v>16.64270215585659</v>
      </c>
      <c r="F18" s="207">
        <f t="shared" si="1"/>
        <v>17.47483726364942</v>
      </c>
      <c r="G18" s="207">
        <f t="shared" si="1"/>
        <v>18.34857912683189</v>
      </c>
      <c r="H18" s="207">
        <f t="shared" si="1"/>
        <v>19.266008083173485</v>
      </c>
      <c r="I18" s="207">
        <f t="shared" si="1"/>
        <v>20.229308487332162</v>
      </c>
      <c r="J18" s="207">
        <f t="shared" si="1"/>
        <v>21.240773911698771</v>
      </c>
      <c r="K18" s="207">
        <f t="shared" si="1"/>
        <v>22.302812607283709</v>
      </c>
      <c r="L18" s="207">
        <f t="shared" si="1"/>
        <v>23.417953237647897</v>
      </c>
      <c r="M18" s="207">
        <f t="shared" si="1"/>
        <v>24.588850899530293</v>
      </c>
      <c r="N18" s="207">
        <f t="shared" si="1"/>
        <v>25.818293444506807</v>
      </c>
      <c r="O18" s="83"/>
      <c r="P18" s="83"/>
      <c r="Q18" s="84"/>
      <c r="R18" s="84"/>
      <c r="S18" s="84"/>
      <c r="T18" s="86"/>
      <c r="U18" s="85"/>
    </row>
    <row r="19" spans="1:21" s="87" customFormat="1" ht="30" customHeight="1">
      <c r="A19" s="290">
        <v>15</v>
      </c>
      <c r="B19" s="205" t="s">
        <v>28</v>
      </c>
      <c r="C19" s="206">
        <f>($A$200+$B$200)*'[31]نرخ تسهیم'!J17</f>
        <v>4.3034858791592141</v>
      </c>
      <c r="D19" s="207">
        <f t="shared" si="1"/>
        <v>4.5186601731171754</v>
      </c>
      <c r="E19" s="207">
        <f t="shared" si="1"/>
        <v>4.744593181773034</v>
      </c>
      <c r="F19" s="207">
        <f t="shared" si="1"/>
        <v>4.9818228408616863</v>
      </c>
      <c r="G19" s="207">
        <f t="shared" si="1"/>
        <v>5.2309139829047711</v>
      </c>
      <c r="H19" s="207">
        <f t="shared" si="1"/>
        <v>5.4924596820500096</v>
      </c>
      <c r="I19" s="207">
        <f t="shared" si="1"/>
        <v>5.7670826661525103</v>
      </c>
      <c r="J19" s="207">
        <f t="shared" si="1"/>
        <v>6.0554367994601357</v>
      </c>
      <c r="K19" s="207">
        <f t="shared" si="1"/>
        <v>6.3582086394331432</v>
      </c>
      <c r="L19" s="207">
        <f t="shared" si="1"/>
        <v>6.6761190714048002</v>
      </c>
      <c r="M19" s="207">
        <f t="shared" si="1"/>
        <v>7.0099250249750407</v>
      </c>
      <c r="N19" s="207">
        <f t="shared" si="1"/>
        <v>7.3604212762237928</v>
      </c>
      <c r="O19" s="83"/>
      <c r="P19" s="83"/>
      <c r="Q19" s="84"/>
      <c r="R19" s="84"/>
      <c r="S19" s="84"/>
      <c r="T19" s="86"/>
      <c r="U19" s="85"/>
    </row>
    <row r="20" spans="1:21" s="87" customFormat="1" ht="30" customHeight="1">
      <c r="A20" s="290">
        <v>16</v>
      </c>
      <c r="B20" s="205" t="s">
        <v>29</v>
      </c>
      <c r="C20" s="206">
        <f>($A$200+$B$200)*'[31]نرخ تسهیم'!J18</f>
        <v>8.1315059966675225</v>
      </c>
      <c r="D20" s="207">
        <f t="shared" si="1"/>
        <v>8.5380812965008985</v>
      </c>
      <c r="E20" s="207">
        <f t="shared" si="1"/>
        <v>8.9649853613259438</v>
      </c>
      <c r="F20" s="207">
        <f t="shared" si="1"/>
        <v>9.4132346293922406</v>
      </c>
      <c r="G20" s="207">
        <f t="shared" si="1"/>
        <v>9.8838963608618524</v>
      </c>
      <c r="H20" s="207">
        <f t="shared" si="1"/>
        <v>10.378091178904945</v>
      </c>
      <c r="I20" s="207">
        <f t="shared" si="1"/>
        <v>10.896995737850194</v>
      </c>
      <c r="J20" s="207">
        <f t="shared" si="1"/>
        <v>11.441845524742703</v>
      </c>
      <c r="K20" s="207">
        <f t="shared" si="1"/>
        <v>12.013937800979839</v>
      </c>
      <c r="L20" s="207">
        <f t="shared" si="1"/>
        <v>12.614634691028831</v>
      </c>
      <c r="M20" s="207">
        <f t="shared" si="1"/>
        <v>13.245366425580274</v>
      </c>
      <c r="N20" s="207">
        <f t="shared" si="1"/>
        <v>13.907634746859289</v>
      </c>
      <c r="O20" s="83"/>
      <c r="P20" s="83"/>
      <c r="Q20" s="84"/>
      <c r="R20" s="84"/>
      <c r="S20" s="84"/>
      <c r="T20" s="86"/>
      <c r="U20" s="85"/>
    </row>
    <row r="21" spans="1:21" s="87" customFormat="1" ht="30" customHeight="1">
      <c r="A21" s="290">
        <v>17</v>
      </c>
      <c r="B21" s="205" t="s">
        <v>30</v>
      </c>
      <c r="C21" s="206">
        <f>($A$200+$B$200)*'[31]نرخ تسهیم'!J19</f>
        <v>6.0010124865464816</v>
      </c>
      <c r="D21" s="207">
        <f t="shared" si="1"/>
        <v>6.3010631108738062</v>
      </c>
      <c r="E21" s="207">
        <f t="shared" si="1"/>
        <v>6.6161162664174968</v>
      </c>
      <c r="F21" s="207">
        <f t="shared" si="1"/>
        <v>6.9469220797383722</v>
      </c>
      <c r="G21" s="207">
        <f t="shared" si="1"/>
        <v>7.2942681837252907</v>
      </c>
      <c r="H21" s="207">
        <f t="shared" si="1"/>
        <v>7.6589815929115552</v>
      </c>
      <c r="I21" s="207">
        <f t="shared" si="1"/>
        <v>8.0419306725571325</v>
      </c>
      <c r="J21" s="207">
        <f t="shared" si="1"/>
        <v>8.4440272061849893</v>
      </c>
      <c r="K21" s="207">
        <f t="shared" si="1"/>
        <v>8.8662285664942395</v>
      </c>
      <c r="L21" s="207">
        <f t="shared" si="1"/>
        <v>9.3095399948189517</v>
      </c>
      <c r="M21" s="207">
        <f t="shared" si="1"/>
        <v>9.7750169945599001</v>
      </c>
      <c r="N21" s="207">
        <f t="shared" si="1"/>
        <v>10.263767844287896</v>
      </c>
      <c r="O21" s="83"/>
      <c r="P21" s="83"/>
      <c r="Q21" s="84"/>
      <c r="R21" s="84"/>
      <c r="S21" s="84"/>
      <c r="T21" s="86"/>
      <c r="U21" s="85"/>
    </row>
    <row r="22" spans="1:21" s="87" customFormat="1" ht="30" customHeight="1">
      <c r="A22" s="290">
        <v>18</v>
      </c>
      <c r="B22" s="205" t="s">
        <v>31</v>
      </c>
      <c r="C22" s="206">
        <f>($A$200+$B$200)*'[31]نرخ تسهیم'!J20</f>
        <v>17.246233658678804</v>
      </c>
      <c r="D22" s="207">
        <f t="shared" ref="D22:N36" si="2">C22*1.05</f>
        <v>18.108545341612746</v>
      </c>
      <c r="E22" s="207">
        <f t="shared" si="2"/>
        <v>19.013972608693386</v>
      </c>
      <c r="F22" s="207">
        <f t="shared" si="2"/>
        <v>19.964671239128055</v>
      </c>
      <c r="G22" s="207">
        <f t="shared" si="2"/>
        <v>20.962904801084459</v>
      </c>
      <c r="H22" s="207">
        <f t="shared" si="2"/>
        <v>22.011050041138684</v>
      </c>
      <c r="I22" s="207">
        <f t="shared" si="2"/>
        <v>23.11160254319562</v>
      </c>
      <c r="J22" s="207">
        <f t="shared" si="2"/>
        <v>24.267182670355403</v>
      </c>
      <c r="K22" s="207">
        <f t="shared" si="2"/>
        <v>25.480541803873173</v>
      </c>
      <c r="L22" s="207">
        <f t="shared" si="2"/>
        <v>26.754568894066832</v>
      </c>
      <c r="M22" s="207">
        <f t="shared" si="2"/>
        <v>28.092297338770173</v>
      </c>
      <c r="N22" s="207">
        <f t="shared" si="2"/>
        <v>29.496912205708682</v>
      </c>
      <c r="O22" s="83"/>
      <c r="P22" s="83"/>
      <c r="Q22" s="84"/>
      <c r="R22" s="84"/>
      <c r="S22" s="84"/>
      <c r="T22" s="86"/>
      <c r="U22" s="85"/>
    </row>
    <row r="23" spans="1:21" s="87" customFormat="1" ht="30" customHeight="1">
      <c r="A23" s="290">
        <v>19</v>
      </c>
      <c r="B23" s="205" t="s">
        <v>32</v>
      </c>
      <c r="C23" s="206">
        <f>($A$200+$B$200)*'[31]نرخ تسهیم'!J21</f>
        <v>9.9540897850763983</v>
      </c>
      <c r="D23" s="207">
        <f t="shared" si="2"/>
        <v>10.451794274330219</v>
      </c>
      <c r="E23" s="207">
        <f t="shared" si="2"/>
        <v>10.97438398804673</v>
      </c>
      <c r="F23" s="207">
        <f t="shared" si="2"/>
        <v>11.523103187449067</v>
      </c>
      <c r="G23" s="207">
        <f t="shared" si="2"/>
        <v>12.09925834682152</v>
      </c>
      <c r="H23" s="207">
        <f t="shared" si="2"/>
        <v>12.704221264162596</v>
      </c>
      <c r="I23" s="207">
        <f t="shared" si="2"/>
        <v>13.339432327370726</v>
      </c>
      <c r="J23" s="207">
        <f t="shared" si="2"/>
        <v>14.006403943739263</v>
      </c>
      <c r="K23" s="207">
        <f t="shared" si="2"/>
        <v>14.706724140926227</v>
      </c>
      <c r="L23" s="207">
        <f t="shared" si="2"/>
        <v>15.442060347972539</v>
      </c>
      <c r="M23" s="207">
        <f t="shared" si="2"/>
        <v>16.214163365371167</v>
      </c>
      <c r="N23" s="207">
        <f t="shared" si="2"/>
        <v>17.024871533639725</v>
      </c>
      <c r="O23" s="83"/>
      <c r="P23" s="83"/>
      <c r="Q23" s="84"/>
      <c r="R23" s="84"/>
      <c r="S23" s="84"/>
      <c r="T23" s="86"/>
      <c r="U23" s="85"/>
    </row>
    <row r="24" spans="1:21" s="87" customFormat="1" ht="30" customHeight="1">
      <c r="A24" s="290">
        <v>20</v>
      </c>
      <c r="B24" s="205" t="s">
        <v>33</v>
      </c>
      <c r="C24" s="206">
        <f>($A$200+$B$200)*'[31]نرخ تسهیم'!J22</f>
        <v>11.496043071063164</v>
      </c>
      <c r="D24" s="207">
        <f t="shared" si="2"/>
        <v>12.070845224616324</v>
      </c>
      <c r="E24" s="207">
        <f t="shared" si="2"/>
        <v>12.674387485847141</v>
      </c>
      <c r="F24" s="207">
        <f t="shared" si="2"/>
        <v>13.3081068601395</v>
      </c>
      <c r="G24" s="207">
        <f t="shared" si="2"/>
        <v>13.973512203146475</v>
      </c>
      <c r="H24" s="207">
        <f t="shared" si="2"/>
        <v>14.672187813303799</v>
      </c>
      <c r="I24" s="207">
        <f t="shared" si="2"/>
        <v>15.405797203968989</v>
      </c>
      <c r="J24" s="207">
        <f t="shared" si="2"/>
        <v>16.17608706416744</v>
      </c>
      <c r="K24" s="207">
        <f t="shared" si="2"/>
        <v>16.984891417375813</v>
      </c>
      <c r="L24" s="207">
        <f t="shared" si="2"/>
        <v>17.834135988244604</v>
      </c>
      <c r="M24" s="207">
        <f t="shared" si="2"/>
        <v>18.725842787656834</v>
      </c>
      <c r="N24" s="207">
        <f t="shared" si="2"/>
        <v>19.662134927039677</v>
      </c>
      <c r="O24" s="83"/>
      <c r="P24" s="83"/>
      <c r="Q24" s="84"/>
      <c r="R24" s="84"/>
      <c r="S24" s="84"/>
      <c r="T24" s="86"/>
      <c r="U24" s="85"/>
    </row>
    <row r="25" spans="1:21" s="87" customFormat="1" ht="30" customHeight="1">
      <c r="A25" s="290">
        <v>21</v>
      </c>
      <c r="B25" s="205" t="s">
        <v>34</v>
      </c>
      <c r="C25" s="206">
        <f>($A$200+$B$200)*'[31]نرخ تسهیم'!J23</f>
        <v>4.6888304212414083</v>
      </c>
      <c r="D25" s="207">
        <f t="shared" si="2"/>
        <v>4.9232719423034785</v>
      </c>
      <c r="E25" s="207">
        <f t="shared" si="2"/>
        <v>5.1694355394186529</v>
      </c>
      <c r="F25" s="207">
        <f t="shared" si="2"/>
        <v>5.4279073163895859</v>
      </c>
      <c r="G25" s="207">
        <f t="shared" si="2"/>
        <v>5.6993026822090656</v>
      </c>
      <c r="H25" s="207">
        <f t="shared" si="2"/>
        <v>5.9842678163195187</v>
      </c>
      <c r="I25" s="207">
        <f t="shared" si="2"/>
        <v>6.2834812071354946</v>
      </c>
      <c r="J25" s="207">
        <f t="shared" si="2"/>
        <v>6.5976552674922697</v>
      </c>
      <c r="K25" s="207">
        <f t="shared" si="2"/>
        <v>6.9275380308668835</v>
      </c>
      <c r="L25" s="207">
        <f t="shared" si="2"/>
        <v>7.2739149324102277</v>
      </c>
      <c r="M25" s="207">
        <f t="shared" si="2"/>
        <v>7.6376106790307396</v>
      </c>
      <c r="N25" s="207">
        <f t="shared" si="2"/>
        <v>8.0194912129822775</v>
      </c>
      <c r="O25" s="83"/>
      <c r="P25" s="83"/>
      <c r="Q25" s="84"/>
      <c r="R25" s="84"/>
      <c r="S25" s="84"/>
      <c r="T25" s="86"/>
      <c r="U25" s="85"/>
    </row>
    <row r="26" spans="1:21" s="87" customFormat="1" ht="30" customHeight="1">
      <c r="A26" s="290">
        <v>22</v>
      </c>
      <c r="B26" s="205" t="s">
        <v>35</v>
      </c>
      <c r="C26" s="206">
        <f>($A$200+$B$200)*'[31]نرخ تسهیم'!J24</f>
        <v>6.3211452171227585</v>
      </c>
      <c r="D26" s="207">
        <f t="shared" si="2"/>
        <v>6.6372024779788967</v>
      </c>
      <c r="E26" s="207">
        <f t="shared" si="2"/>
        <v>6.9690626018778419</v>
      </c>
      <c r="F26" s="207">
        <f t="shared" si="2"/>
        <v>7.3175157319717341</v>
      </c>
      <c r="G26" s="207">
        <f t="shared" si="2"/>
        <v>7.6833915185703212</v>
      </c>
      <c r="H26" s="207">
        <f t="shared" si="2"/>
        <v>8.0675610944988367</v>
      </c>
      <c r="I26" s="207">
        <f t="shared" si="2"/>
        <v>8.4709391492237796</v>
      </c>
      <c r="J26" s="207">
        <f t="shared" si="2"/>
        <v>8.894486106684969</v>
      </c>
      <c r="K26" s="207">
        <f t="shared" si="2"/>
        <v>9.3392104120192183</v>
      </c>
      <c r="L26" s="207">
        <f t="shared" si="2"/>
        <v>9.80617093262018</v>
      </c>
      <c r="M26" s="207">
        <f t="shared" si="2"/>
        <v>10.29647947925119</v>
      </c>
      <c r="N26" s="207">
        <f t="shared" si="2"/>
        <v>10.81130345321375</v>
      </c>
      <c r="O26" s="83"/>
      <c r="P26" s="83"/>
      <c r="Q26" s="84"/>
      <c r="R26" s="84"/>
      <c r="S26" s="84"/>
      <c r="T26" s="86"/>
      <c r="U26" s="85"/>
    </row>
    <row r="27" spans="1:21" s="87" customFormat="1" ht="30" customHeight="1">
      <c r="A27" s="290">
        <v>23</v>
      </c>
      <c r="B27" s="205" t="s">
        <v>36</v>
      </c>
      <c r="C27" s="206">
        <f>($A$200+$B$200)*'[31]نرخ تسهیم'!J25</f>
        <v>9.0981743217019577</v>
      </c>
      <c r="D27" s="207">
        <f t="shared" si="2"/>
        <v>9.5530830377870561</v>
      </c>
      <c r="E27" s="207">
        <f t="shared" si="2"/>
        <v>10.03073718967641</v>
      </c>
      <c r="F27" s="207">
        <f t="shared" si="2"/>
        <v>10.532274049160231</v>
      </c>
      <c r="G27" s="207">
        <f t="shared" si="2"/>
        <v>11.058887751618244</v>
      </c>
      <c r="H27" s="207">
        <f t="shared" si="2"/>
        <v>11.611832139199157</v>
      </c>
      <c r="I27" s="207">
        <f t="shared" si="2"/>
        <v>12.192423746159115</v>
      </c>
      <c r="J27" s="207">
        <f t="shared" si="2"/>
        <v>12.802044933467071</v>
      </c>
      <c r="K27" s="207">
        <f t="shared" si="2"/>
        <v>13.442147180140426</v>
      </c>
      <c r="L27" s="207">
        <f t="shared" si="2"/>
        <v>14.114254539147447</v>
      </c>
      <c r="M27" s="207">
        <f t="shared" si="2"/>
        <v>14.81996726610482</v>
      </c>
      <c r="N27" s="207">
        <f t="shared" si="2"/>
        <v>15.560965629410061</v>
      </c>
      <c r="O27" s="83"/>
      <c r="P27" s="83"/>
      <c r="Q27" s="84"/>
      <c r="R27" s="84"/>
      <c r="S27" s="84"/>
      <c r="T27" s="86"/>
      <c r="U27" s="85"/>
    </row>
    <row r="28" spans="1:21" s="87" customFormat="1" ht="30" customHeight="1">
      <c r="A28" s="290">
        <v>24</v>
      </c>
      <c r="B28" s="205" t="s">
        <v>37</v>
      </c>
      <c r="C28" s="206">
        <f>($A$200+$B$200)*'[31]نرخ تسهیم'!J26</f>
        <v>2.356517759021088</v>
      </c>
      <c r="D28" s="207">
        <f t="shared" si="2"/>
        <v>2.4743436469721423</v>
      </c>
      <c r="E28" s="207">
        <f t="shared" si="2"/>
        <v>2.5980608293207497</v>
      </c>
      <c r="F28" s="207">
        <f t="shared" si="2"/>
        <v>2.7279638707867875</v>
      </c>
      <c r="G28" s="207">
        <f t="shared" si="2"/>
        <v>2.8643620643261269</v>
      </c>
      <c r="H28" s="207">
        <f t="shared" si="2"/>
        <v>3.0075801675424336</v>
      </c>
      <c r="I28" s="207">
        <f t="shared" si="2"/>
        <v>3.1579591759195553</v>
      </c>
      <c r="J28" s="207">
        <f t="shared" si="2"/>
        <v>3.3158571347155332</v>
      </c>
      <c r="K28" s="207">
        <f t="shared" si="2"/>
        <v>3.4816499914513099</v>
      </c>
      <c r="L28" s="207">
        <f t="shared" si="2"/>
        <v>3.6557324910238758</v>
      </c>
      <c r="M28" s="207">
        <f t="shared" si="2"/>
        <v>3.8385191155750698</v>
      </c>
      <c r="N28" s="207">
        <f t="shared" si="2"/>
        <v>4.0304450713538236</v>
      </c>
      <c r="O28" s="83"/>
      <c r="P28" s="83"/>
      <c r="Q28" s="84"/>
      <c r="R28" s="84"/>
      <c r="S28" s="84"/>
      <c r="T28" s="86"/>
      <c r="U28" s="85"/>
    </row>
    <row r="29" spans="1:21" s="87" customFormat="1" ht="30" customHeight="1">
      <c r="A29" s="290">
        <v>25</v>
      </c>
      <c r="B29" s="205" t="s">
        <v>38</v>
      </c>
      <c r="C29" s="206">
        <f>($A$200+$B$200)*'[31]نرخ تسهیم'!J27</f>
        <v>14.732594471075972</v>
      </c>
      <c r="D29" s="207">
        <f t="shared" si="2"/>
        <v>15.469224194629771</v>
      </c>
      <c r="E29" s="207">
        <f t="shared" si="2"/>
        <v>16.242685404361261</v>
      </c>
      <c r="F29" s="207">
        <f t="shared" si="2"/>
        <v>17.054819674579324</v>
      </c>
      <c r="G29" s="207">
        <f t="shared" si="2"/>
        <v>17.907560658308292</v>
      </c>
      <c r="H29" s="207">
        <f t="shared" si="2"/>
        <v>18.802938691223709</v>
      </c>
      <c r="I29" s="207">
        <f t="shared" si="2"/>
        <v>19.743085625784897</v>
      </c>
      <c r="J29" s="207">
        <f t="shared" si="2"/>
        <v>20.730239907074143</v>
      </c>
      <c r="K29" s="207">
        <f t="shared" si="2"/>
        <v>21.766751902427853</v>
      </c>
      <c r="L29" s="207">
        <f t="shared" si="2"/>
        <v>22.855089497549248</v>
      </c>
      <c r="M29" s="207">
        <f t="shared" si="2"/>
        <v>23.997843972426711</v>
      </c>
      <c r="N29" s="207">
        <f t="shared" si="2"/>
        <v>25.197736171048049</v>
      </c>
      <c r="O29" s="83"/>
      <c r="P29" s="83"/>
      <c r="Q29" s="84"/>
      <c r="R29" s="84"/>
      <c r="S29" s="84"/>
      <c r="T29" s="86"/>
      <c r="U29" s="85"/>
    </row>
    <row r="30" spans="1:21" s="87" customFormat="1" ht="30" customHeight="1">
      <c r="A30" s="290">
        <v>26</v>
      </c>
      <c r="B30" s="205" t="s">
        <v>39</v>
      </c>
      <c r="C30" s="206">
        <f>($A$200+$B$200)*'[31]نرخ تسهیم'!J28</f>
        <v>9.7305713878074762</v>
      </c>
      <c r="D30" s="207">
        <f t="shared" si="2"/>
        <v>10.217099957197851</v>
      </c>
      <c r="E30" s="207">
        <f t="shared" si="2"/>
        <v>10.727954955057744</v>
      </c>
      <c r="F30" s="207">
        <f t="shared" si="2"/>
        <v>11.264352702810632</v>
      </c>
      <c r="G30" s="207">
        <f t="shared" si="2"/>
        <v>11.827570337951164</v>
      </c>
      <c r="H30" s="207">
        <f t="shared" si="2"/>
        <v>12.418948854848722</v>
      </c>
      <c r="I30" s="207">
        <f t="shared" si="2"/>
        <v>13.039896297591159</v>
      </c>
      <c r="J30" s="207">
        <f t="shared" si="2"/>
        <v>13.691891112470717</v>
      </c>
      <c r="K30" s="207">
        <f t="shared" si="2"/>
        <v>14.376485668094254</v>
      </c>
      <c r="L30" s="207">
        <f t="shared" si="2"/>
        <v>15.095309951498967</v>
      </c>
      <c r="M30" s="207">
        <f t="shared" si="2"/>
        <v>15.850075449073916</v>
      </c>
      <c r="N30" s="207">
        <f t="shared" si="2"/>
        <v>16.642579221527612</v>
      </c>
      <c r="O30" s="83"/>
      <c r="P30" s="83"/>
      <c r="Q30" s="84"/>
      <c r="R30" s="84"/>
      <c r="S30" s="84"/>
      <c r="T30" s="86"/>
      <c r="U30" s="85"/>
    </row>
    <row r="31" spans="1:21" s="87" customFormat="1" ht="30" customHeight="1">
      <c r="A31" s="290">
        <v>27</v>
      </c>
      <c r="B31" s="205" t="s">
        <v>40</v>
      </c>
      <c r="C31" s="206">
        <f>($A$200+$B$200)*'[31]نرخ تسهیم'!J29</f>
        <v>11.971316278413401</v>
      </c>
      <c r="D31" s="207">
        <f t="shared" si="2"/>
        <v>12.569882092334071</v>
      </c>
      <c r="E31" s="207">
        <f t="shared" si="2"/>
        <v>13.198376196950775</v>
      </c>
      <c r="F31" s="207">
        <f t="shared" si="2"/>
        <v>13.858295006798315</v>
      </c>
      <c r="G31" s="207">
        <f t="shared" si="2"/>
        <v>14.551209757138231</v>
      </c>
      <c r="H31" s="207">
        <f t="shared" si="2"/>
        <v>15.278770244995144</v>
      </c>
      <c r="I31" s="207">
        <f t="shared" si="2"/>
        <v>16.042708757244903</v>
      </c>
      <c r="J31" s="207">
        <f t="shared" si="2"/>
        <v>16.84484419510715</v>
      </c>
      <c r="K31" s="207">
        <f t="shared" si="2"/>
        <v>17.687086404862509</v>
      </c>
      <c r="L31" s="207">
        <f t="shared" si="2"/>
        <v>18.571440725105635</v>
      </c>
      <c r="M31" s="207">
        <f t="shared" si="2"/>
        <v>19.500012761360917</v>
      </c>
      <c r="N31" s="207">
        <f t="shared" si="2"/>
        <v>20.475013399428963</v>
      </c>
      <c r="O31" s="83"/>
      <c r="P31" s="83"/>
      <c r="Q31" s="84"/>
      <c r="R31" s="84"/>
      <c r="S31" s="84"/>
      <c r="T31" s="86"/>
      <c r="U31" s="85"/>
    </row>
    <row r="32" spans="1:21" s="87" customFormat="1" ht="30" customHeight="1">
      <c r="A32" s="290">
        <v>28</v>
      </c>
      <c r="B32" s="205" t="s">
        <v>41</v>
      </c>
      <c r="C32" s="206">
        <f>($A$200+$B$200)*'[31]نرخ تسهیم'!J30</f>
        <v>23.601957984180501</v>
      </c>
      <c r="D32" s="207">
        <f t="shared" si="2"/>
        <v>24.782055883389528</v>
      </c>
      <c r="E32" s="207">
        <f t="shared" si="2"/>
        <v>26.021158677559004</v>
      </c>
      <c r="F32" s="207">
        <f t="shared" si="2"/>
        <v>27.322216611436957</v>
      </c>
      <c r="G32" s="207">
        <f t="shared" si="2"/>
        <v>28.688327442008806</v>
      </c>
      <c r="H32" s="207">
        <f t="shared" si="2"/>
        <v>30.122743814109246</v>
      </c>
      <c r="I32" s="207">
        <f t="shared" si="2"/>
        <v>31.628881004814708</v>
      </c>
      <c r="J32" s="207">
        <f t="shared" si="2"/>
        <v>33.210325055055442</v>
      </c>
      <c r="K32" s="207">
        <f t="shared" si="2"/>
        <v>34.870841307808213</v>
      </c>
      <c r="L32" s="207">
        <f t="shared" si="2"/>
        <v>36.614383373198628</v>
      </c>
      <c r="M32" s="207">
        <f t="shared" si="2"/>
        <v>38.44510254185856</v>
      </c>
      <c r="N32" s="207">
        <f t="shared" si="2"/>
        <v>40.367357668951492</v>
      </c>
      <c r="O32" s="83"/>
      <c r="P32" s="83"/>
      <c r="Q32" s="84"/>
      <c r="R32" s="84"/>
      <c r="S32" s="84"/>
      <c r="T32" s="86"/>
      <c r="U32" s="85"/>
    </row>
    <row r="33" spans="1:21" s="87" customFormat="1" ht="30" customHeight="1">
      <c r="A33" s="290">
        <v>29</v>
      </c>
      <c r="B33" s="205" t="s">
        <v>42</v>
      </c>
      <c r="C33" s="206">
        <f>($A$200+$B$200)*'[31]نرخ تسهیم'!J31</f>
        <v>16.259196117429443</v>
      </c>
      <c r="D33" s="207">
        <f t="shared" si="2"/>
        <v>17.072155923300915</v>
      </c>
      <c r="E33" s="207">
        <f t="shared" si="2"/>
        <v>17.925763719465962</v>
      </c>
      <c r="F33" s="207">
        <f t="shared" si="2"/>
        <v>18.82205190543926</v>
      </c>
      <c r="G33" s="207">
        <f t="shared" si="2"/>
        <v>19.763154500711224</v>
      </c>
      <c r="H33" s="207">
        <f t="shared" si="2"/>
        <v>20.751312225746787</v>
      </c>
      <c r="I33" s="207">
        <f t="shared" si="2"/>
        <v>21.788877837034129</v>
      </c>
      <c r="J33" s="207">
        <f t="shared" si="2"/>
        <v>22.878321728885837</v>
      </c>
      <c r="K33" s="207">
        <f t="shared" si="2"/>
        <v>24.022237815330129</v>
      </c>
      <c r="L33" s="207">
        <f t="shared" si="2"/>
        <v>25.223349706096638</v>
      </c>
      <c r="M33" s="207">
        <f t="shared" si="2"/>
        <v>26.484517191401469</v>
      </c>
      <c r="N33" s="207">
        <f t="shared" si="2"/>
        <v>27.808743050971543</v>
      </c>
      <c r="O33" s="83"/>
      <c r="P33" s="83"/>
      <c r="Q33" s="84"/>
      <c r="R33" s="84"/>
      <c r="S33" s="84"/>
      <c r="T33" s="86"/>
      <c r="U33" s="85"/>
    </row>
    <row r="34" spans="1:21" s="87" customFormat="1" ht="30" customHeight="1">
      <c r="A34" s="290">
        <v>30</v>
      </c>
      <c r="B34" s="205" t="s">
        <v>43</v>
      </c>
      <c r="C34" s="206">
        <f>($A$200+$B$200)*'[31]نرخ تسهیم'!J32</f>
        <v>9.2589305098250403</v>
      </c>
      <c r="D34" s="207">
        <f t="shared" si="2"/>
        <v>9.7218770353162931</v>
      </c>
      <c r="E34" s="207">
        <f t="shared" si="2"/>
        <v>10.207970887082109</v>
      </c>
      <c r="F34" s="207">
        <f t="shared" si="2"/>
        <v>10.718369431436214</v>
      </c>
      <c r="G34" s="207">
        <f t="shared" si="2"/>
        <v>11.254287903008025</v>
      </c>
      <c r="H34" s="207">
        <f t="shared" si="2"/>
        <v>11.817002298158426</v>
      </c>
      <c r="I34" s="207">
        <f t="shared" si="2"/>
        <v>12.407852413066347</v>
      </c>
      <c r="J34" s="207">
        <f t="shared" si="2"/>
        <v>13.028245033719665</v>
      </c>
      <c r="K34" s="207">
        <f t="shared" si="2"/>
        <v>13.67965728540565</v>
      </c>
      <c r="L34" s="207">
        <f t="shared" si="2"/>
        <v>14.363640149675932</v>
      </c>
      <c r="M34" s="207">
        <f t="shared" si="2"/>
        <v>15.08182215715973</v>
      </c>
      <c r="N34" s="207">
        <f t="shared" si="2"/>
        <v>15.835913265017716</v>
      </c>
      <c r="O34" s="83"/>
      <c r="P34" s="83"/>
      <c r="Q34" s="84"/>
      <c r="R34" s="84"/>
      <c r="S34" s="84"/>
      <c r="T34" s="86"/>
      <c r="U34" s="85"/>
    </row>
    <row r="35" spans="1:21" s="87" customFormat="1" ht="30" customHeight="1">
      <c r="A35" s="290">
        <v>31</v>
      </c>
      <c r="B35" s="205" t="s">
        <v>44</v>
      </c>
      <c r="C35" s="206">
        <f>($A$200+$B$200)*'[31]نرخ تسهیم'!J33</f>
        <v>5.3487830980176509</v>
      </c>
      <c r="D35" s="207">
        <f t="shared" si="2"/>
        <v>5.6162222529185337</v>
      </c>
      <c r="E35" s="207">
        <f t="shared" si="2"/>
        <v>5.8970333655644609</v>
      </c>
      <c r="F35" s="207">
        <f t="shared" si="2"/>
        <v>6.1918850338426843</v>
      </c>
      <c r="G35" s="207">
        <f t="shared" si="2"/>
        <v>6.5014792855348187</v>
      </c>
      <c r="H35" s="207">
        <f t="shared" si="2"/>
        <v>6.8265532498115595</v>
      </c>
      <c r="I35" s="207">
        <f t="shared" si="2"/>
        <v>7.1678809123021381</v>
      </c>
      <c r="J35" s="207">
        <f t="shared" si="2"/>
        <v>7.526274957917245</v>
      </c>
      <c r="K35" s="207">
        <f t="shared" si="2"/>
        <v>7.9025887058131072</v>
      </c>
      <c r="L35" s="207">
        <f t="shared" si="2"/>
        <v>8.297718141103763</v>
      </c>
      <c r="M35" s="207">
        <f t="shared" si="2"/>
        <v>8.7126040481589513</v>
      </c>
      <c r="N35" s="207">
        <f t="shared" si="2"/>
        <v>9.1482342505668992</v>
      </c>
      <c r="O35" s="83"/>
      <c r="P35" s="83"/>
      <c r="Q35" s="84"/>
      <c r="R35" s="84"/>
      <c r="S35" s="84"/>
      <c r="T35" s="86"/>
      <c r="U35" s="85"/>
    </row>
    <row r="36" spans="1:21" s="87" customFormat="1" ht="30" customHeight="1">
      <c r="A36" s="290">
        <v>32</v>
      </c>
      <c r="B36" s="205" t="s">
        <v>45</v>
      </c>
      <c r="C36" s="206">
        <f>($A$200+$B$200)*'[31]نرخ تسهیم'!J34</f>
        <v>9.6943425529766483</v>
      </c>
      <c r="D36" s="207">
        <f t="shared" si="2"/>
        <v>10.179059680625482</v>
      </c>
      <c r="E36" s="207">
        <f t="shared" si="2"/>
        <v>10.688012664656757</v>
      </c>
      <c r="F36" s="207">
        <f t="shared" si="2"/>
        <v>11.222413297889595</v>
      </c>
      <c r="G36" s="207">
        <f t="shared" si="2"/>
        <v>11.783533962784075</v>
      </c>
      <c r="H36" s="207">
        <f t="shared" si="2"/>
        <v>12.372710660923278</v>
      </c>
      <c r="I36" s="207">
        <f t="shared" si="2"/>
        <v>12.991346193969443</v>
      </c>
      <c r="J36" s="207">
        <f t="shared" si="2"/>
        <v>13.640913503667916</v>
      </c>
      <c r="K36" s="207">
        <f t="shared" si="2"/>
        <v>14.322959178851312</v>
      </c>
      <c r="L36" s="207">
        <f t="shared" si="2"/>
        <v>15.039107137793877</v>
      </c>
      <c r="M36" s="207">
        <f t="shared" si="2"/>
        <v>15.791062494683572</v>
      </c>
      <c r="N36" s="207">
        <f t="shared" si="2"/>
        <v>16.580615619417753</v>
      </c>
      <c r="O36" s="83"/>
      <c r="P36" s="83"/>
      <c r="Q36" s="84"/>
      <c r="R36" s="84"/>
      <c r="S36" s="84"/>
      <c r="T36" s="86"/>
      <c r="U36" s="85"/>
    </row>
    <row r="37" spans="1:21" s="90" customFormat="1" ht="30" customHeight="1">
      <c r="A37" s="464" t="s">
        <v>107</v>
      </c>
      <c r="B37" s="464"/>
      <c r="C37" s="206">
        <f t="shared" ref="C37:N37" si="3">SUM(C5:C36)</f>
        <v>386.74999999999989</v>
      </c>
      <c r="D37" s="206">
        <f t="shared" si="3"/>
        <v>406.08750000000003</v>
      </c>
      <c r="E37" s="206">
        <f t="shared" si="3"/>
        <v>426.39187500000008</v>
      </c>
      <c r="F37" s="206">
        <f t="shared" si="3"/>
        <v>447.71146874999994</v>
      </c>
      <c r="G37" s="206">
        <f t="shared" si="3"/>
        <v>470.09704218749999</v>
      </c>
      <c r="H37" s="206">
        <f t="shared" si="3"/>
        <v>493.60189429687512</v>
      </c>
      <c r="I37" s="206">
        <f t="shared" si="3"/>
        <v>518.28198901171879</v>
      </c>
      <c r="J37" s="206">
        <f t="shared" si="3"/>
        <v>544.19608846230483</v>
      </c>
      <c r="K37" s="206">
        <f t="shared" si="3"/>
        <v>571.40589288541992</v>
      </c>
      <c r="L37" s="206">
        <f t="shared" si="3"/>
        <v>599.97618752969117</v>
      </c>
      <c r="M37" s="206">
        <f t="shared" si="3"/>
        <v>629.97499690617576</v>
      </c>
      <c r="N37" s="206">
        <f t="shared" si="3"/>
        <v>661.47374675148444</v>
      </c>
      <c r="O37" s="83"/>
      <c r="P37" s="83"/>
      <c r="Q37" s="84"/>
      <c r="R37" s="84"/>
      <c r="S37" s="84"/>
      <c r="T37" s="88"/>
      <c r="U37" s="89"/>
    </row>
    <row r="199" spans="1:20" s="99" customFormat="1" ht="35.1" customHeight="1">
      <c r="D199" s="100"/>
      <c r="E199" s="100"/>
      <c r="F199" s="100"/>
      <c r="G199" s="100"/>
      <c r="H199" s="100"/>
      <c r="I199" s="100"/>
      <c r="J199" s="100"/>
      <c r="K199" s="100"/>
      <c r="L199" s="100"/>
      <c r="M199" s="100"/>
      <c r="N199" s="101"/>
      <c r="O199" s="102"/>
      <c r="P199" s="102"/>
      <c r="Q199" s="102"/>
      <c r="R199" s="102"/>
      <c r="T199" s="103"/>
    </row>
    <row r="200" spans="1:20" s="47" customFormat="1" ht="35.1" hidden="1" customHeight="1">
      <c r="A200" s="47">
        <f>'[31]عملیات-فعالیت ها '!$L$19</f>
        <v>386.75</v>
      </c>
      <c r="B200" s="47">
        <f>'[31]عملیات-فعالیت ها '!$M$19</f>
        <v>0</v>
      </c>
      <c r="D200" s="48"/>
      <c r="E200" s="48"/>
      <c r="F200" s="48"/>
      <c r="G200" s="48"/>
      <c r="H200" s="48"/>
      <c r="I200" s="48"/>
      <c r="J200" s="48"/>
      <c r="K200" s="48"/>
      <c r="L200" s="48"/>
      <c r="M200" s="48"/>
      <c r="N200" s="49"/>
      <c r="O200" s="50"/>
      <c r="P200" s="50"/>
      <c r="Q200" s="50"/>
      <c r="R200" s="50"/>
      <c r="T200" s="51"/>
    </row>
    <row r="201" spans="1:20" s="99" customFormat="1" ht="35.1" customHeight="1">
      <c r="D201" s="100"/>
      <c r="E201" s="100"/>
      <c r="F201" s="100"/>
      <c r="G201" s="100"/>
      <c r="H201" s="100"/>
      <c r="I201" s="100"/>
      <c r="J201" s="100"/>
      <c r="K201" s="100"/>
      <c r="L201" s="100"/>
      <c r="M201" s="100"/>
      <c r="N201" s="101"/>
      <c r="O201" s="102"/>
      <c r="P201" s="102"/>
      <c r="Q201" s="102"/>
      <c r="R201" s="102"/>
      <c r="T201" s="103"/>
    </row>
  </sheetData>
  <mergeCells count="17">
    <mergeCell ref="A37:B37"/>
    <mergeCell ref="I3:I4"/>
    <mergeCell ref="J3:J4"/>
    <mergeCell ref="K3:K4"/>
    <mergeCell ref="L3:L4"/>
    <mergeCell ref="M3:M4"/>
    <mergeCell ref="N3:N4"/>
    <mergeCell ref="A1:N1"/>
    <mergeCell ref="A2:A4"/>
    <mergeCell ref="B2:B4"/>
    <mergeCell ref="C2:C4"/>
    <mergeCell ref="D2:D4"/>
    <mergeCell ref="E2:I2"/>
    <mergeCell ref="J2:N2"/>
    <mergeCell ref="E3:F3"/>
    <mergeCell ref="G3:G4"/>
    <mergeCell ref="H3:H4"/>
  </mergeCells>
  <pageMargins left="0.7" right="0.7" top="0.75" bottom="0.75" header="0.3" footer="0.3"/>
  <pageSetup paperSize="9" orientation="portrait" r:id="rId1"/>
  <drawing r:id="rId2"/>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253"/>
  <sheetViews>
    <sheetView showGridLines="0" rightToLeft="1" workbookViewId="0">
      <pane xSplit="25" topLeftCell="Z1" activePane="topRight" state="frozen"/>
      <selection pane="topRight" activeCell="L19" sqref="L19"/>
    </sheetView>
  </sheetViews>
  <sheetFormatPr defaultColWidth="28.6640625" defaultRowHeight="5.65" customHeight="1"/>
  <cols>
    <col min="1" max="1" width="9.33203125" style="3" customWidth="1"/>
    <col min="2" max="2" width="55.5" style="3" customWidth="1"/>
    <col min="3" max="3" width="9" style="125" customWidth="1"/>
    <col min="4" max="9" width="6.6640625" style="126" customWidth="1"/>
    <col min="10" max="12" width="12.5" style="3" customWidth="1"/>
    <col min="13" max="13" width="12.33203125" style="2" customWidth="1"/>
    <col min="14" max="18" width="10.1640625" style="29" hidden="1" customWidth="1"/>
    <col min="19" max="23" width="10.33203125" style="29" hidden="1" customWidth="1"/>
    <col min="24" max="25" width="10.1640625" style="30" hidden="1" customWidth="1"/>
    <col min="26" max="26" width="14.1640625" style="121" customWidth="1"/>
    <col min="27" max="27" width="28.6640625" style="2"/>
    <col min="28" max="16384" width="28.6640625" style="3"/>
  </cols>
  <sheetData>
    <row r="1" spans="1:27" ht="56.25" customHeight="1">
      <c r="A1" s="413" t="s">
        <v>442</v>
      </c>
      <c r="B1" s="413"/>
      <c r="C1" s="413"/>
      <c r="D1" s="413"/>
      <c r="E1" s="413"/>
      <c r="F1" s="413"/>
      <c r="G1" s="413"/>
      <c r="H1" s="413"/>
      <c r="I1" s="413"/>
      <c r="J1" s="413"/>
      <c r="K1" s="413"/>
      <c r="L1" s="413"/>
      <c r="M1" s="413"/>
    </row>
    <row r="2" spans="1:27" ht="33.75" customHeight="1">
      <c r="A2" s="262">
        <f>$M$20</f>
        <v>40</v>
      </c>
      <c r="B2" s="430" t="s">
        <v>134</v>
      </c>
      <c r="C2" s="383" t="s">
        <v>135</v>
      </c>
      <c r="D2" s="384" t="s">
        <v>136</v>
      </c>
      <c r="E2" s="384"/>
      <c r="F2" s="384"/>
      <c r="G2" s="384"/>
      <c r="H2" s="384" t="s">
        <v>137</v>
      </c>
      <c r="I2" s="384" t="s">
        <v>138</v>
      </c>
      <c r="J2" s="385" t="s">
        <v>139</v>
      </c>
      <c r="K2" s="385" t="s">
        <v>140</v>
      </c>
      <c r="L2" s="385" t="s">
        <v>141</v>
      </c>
      <c r="M2" s="386" t="s">
        <v>142</v>
      </c>
    </row>
    <row r="3" spans="1:27" ht="31.5" customHeight="1">
      <c r="A3" s="263" t="s">
        <v>0</v>
      </c>
      <c r="B3" s="430"/>
      <c r="C3" s="383"/>
      <c r="D3" s="208" t="s">
        <v>143</v>
      </c>
      <c r="E3" s="208" t="s">
        <v>144</v>
      </c>
      <c r="F3" s="208" t="s">
        <v>145</v>
      </c>
      <c r="G3" s="208" t="s">
        <v>146</v>
      </c>
      <c r="H3" s="384"/>
      <c r="I3" s="384"/>
      <c r="J3" s="385"/>
      <c r="K3" s="385"/>
      <c r="L3" s="385"/>
      <c r="M3" s="386"/>
      <c r="N3" s="29" t="s">
        <v>147</v>
      </c>
      <c r="O3" s="29" t="s">
        <v>148</v>
      </c>
      <c r="P3" s="29" t="s">
        <v>149</v>
      </c>
      <c r="Q3" s="29" t="s">
        <v>150</v>
      </c>
      <c r="R3" s="29" t="s">
        <v>147</v>
      </c>
      <c r="S3" s="29" t="s">
        <v>148</v>
      </c>
      <c r="T3" s="29" t="s">
        <v>149</v>
      </c>
      <c r="U3" s="29" t="s">
        <v>150</v>
      </c>
      <c r="V3" s="29" t="s">
        <v>164</v>
      </c>
      <c r="W3" s="29" t="s">
        <v>165</v>
      </c>
      <c r="X3" s="30" t="s">
        <v>153</v>
      </c>
      <c r="Y3" s="30" t="s">
        <v>154</v>
      </c>
    </row>
    <row r="4" spans="1:27" ht="54.95" customHeight="1">
      <c r="A4" s="209">
        <v>1</v>
      </c>
      <c r="B4" s="280" t="s">
        <v>443</v>
      </c>
      <c r="C4" s="211">
        <v>2.5</v>
      </c>
      <c r="D4" s="212">
        <v>0</v>
      </c>
      <c r="E4" s="212">
        <v>1</v>
      </c>
      <c r="F4" s="212">
        <v>0</v>
      </c>
      <c r="G4" s="212">
        <v>1</v>
      </c>
      <c r="H4" s="212">
        <v>4</v>
      </c>
      <c r="I4" s="212">
        <v>4</v>
      </c>
      <c r="J4" s="213">
        <v>0</v>
      </c>
      <c r="K4" s="213">
        <v>0</v>
      </c>
      <c r="L4" s="213">
        <f t="shared" ref="L4:L18" si="0">(((J4*C4)/$A$2)*D4)+(((J4*C4)/$A$2)*E4)+(((J4*C4)/$A$2)*F4)+(((J4*C4)/$A$2)*G4)</f>
        <v>0</v>
      </c>
      <c r="M4" s="214">
        <f t="shared" ref="M4:M18" si="1">(((K4*C4)/$A$2)*D4)+(((K4*C4)/$A$2)*E4)+(((K4*C4)/$A$2)*F4)+(((K4*C4)/$A$2)*G4)</f>
        <v>0</v>
      </c>
      <c r="N4" s="143">
        <f t="shared" ref="N4:N18" si="2">J4*D4*C4/$A$2</f>
        <v>0</v>
      </c>
      <c r="O4" s="143">
        <f t="shared" ref="O4:O18" si="3">J4*E4*C4/$A$2</f>
        <v>0</v>
      </c>
      <c r="P4" s="143">
        <f>J4*F4*C4/$A$2</f>
        <v>0</v>
      </c>
      <c r="Q4" s="143">
        <f t="shared" ref="Q4:Q18" si="4">J4*G4*C4/$A$2</f>
        <v>0</v>
      </c>
      <c r="R4" s="143">
        <f t="shared" ref="R4:R18" si="5">K4*D4*C4/$A$2</f>
        <v>0</v>
      </c>
      <c r="S4" s="143">
        <f t="shared" ref="S4:S18" si="6">K4*E4*C4/$A$2</f>
        <v>0</v>
      </c>
      <c r="T4" s="143">
        <f t="shared" ref="T4:T18" si="7">K4*F4*C4/$A$2</f>
        <v>0</v>
      </c>
      <c r="U4" s="143">
        <f t="shared" ref="U4:U18" si="8">K4*G4*C4/$A$2</f>
        <v>0</v>
      </c>
      <c r="V4" s="29">
        <f t="shared" ref="V4:V18" si="9">((L4/15)*((I4+H4)-2))</f>
        <v>0</v>
      </c>
      <c r="W4" s="29">
        <f t="shared" ref="W4:W18" si="10">((M4/15)*((I4+H4)-2))</f>
        <v>0</v>
      </c>
      <c r="X4" s="30">
        <f t="shared" ref="X4:Y18" si="11">L4*(V4/(V4-0.0000001))</f>
        <v>0</v>
      </c>
      <c r="Y4" s="30">
        <f t="shared" si="11"/>
        <v>0</v>
      </c>
      <c r="Z4" s="2"/>
      <c r="AA4" s="3"/>
    </row>
    <row r="5" spans="1:27" ht="54.95" customHeight="1">
      <c r="A5" s="209">
        <v>2</v>
      </c>
      <c r="B5" s="280" t="s">
        <v>444</v>
      </c>
      <c r="C5" s="211">
        <v>3</v>
      </c>
      <c r="D5" s="212">
        <v>0</v>
      </c>
      <c r="E5" s="212">
        <v>1</v>
      </c>
      <c r="F5" s="212">
        <v>0</v>
      </c>
      <c r="G5" s="212">
        <v>1</v>
      </c>
      <c r="H5" s="212">
        <v>4</v>
      </c>
      <c r="I5" s="212">
        <v>4</v>
      </c>
      <c r="J5" s="213">
        <v>0</v>
      </c>
      <c r="K5" s="213">
        <v>0</v>
      </c>
      <c r="L5" s="213">
        <f t="shared" si="0"/>
        <v>0</v>
      </c>
      <c r="M5" s="214">
        <f t="shared" si="1"/>
        <v>0</v>
      </c>
      <c r="N5" s="143">
        <f t="shared" si="2"/>
        <v>0</v>
      </c>
      <c r="O5" s="143">
        <f t="shared" si="3"/>
        <v>0</v>
      </c>
      <c r="P5" s="143">
        <f t="shared" ref="P5:P18" si="12">J5*F5*C5/$A$2</f>
        <v>0</v>
      </c>
      <c r="Q5" s="143">
        <f t="shared" si="4"/>
        <v>0</v>
      </c>
      <c r="R5" s="143">
        <f t="shared" si="5"/>
        <v>0</v>
      </c>
      <c r="S5" s="143">
        <f t="shared" si="6"/>
        <v>0</v>
      </c>
      <c r="T5" s="143">
        <f t="shared" si="7"/>
        <v>0</v>
      </c>
      <c r="U5" s="143">
        <f t="shared" si="8"/>
        <v>0</v>
      </c>
      <c r="V5" s="29">
        <f t="shared" si="9"/>
        <v>0</v>
      </c>
      <c r="W5" s="29">
        <f t="shared" si="10"/>
        <v>0</v>
      </c>
      <c r="X5" s="30">
        <f t="shared" si="11"/>
        <v>0</v>
      </c>
      <c r="Y5" s="30">
        <f t="shared" si="11"/>
        <v>0</v>
      </c>
      <c r="Z5" s="2"/>
      <c r="AA5" s="3"/>
    </row>
    <row r="6" spans="1:27" ht="54.95" customHeight="1">
      <c r="A6" s="209">
        <v>3</v>
      </c>
      <c r="B6" s="280" t="s">
        <v>445</v>
      </c>
      <c r="C6" s="211">
        <v>2</v>
      </c>
      <c r="D6" s="212">
        <v>0</v>
      </c>
      <c r="E6" s="212">
        <v>1</v>
      </c>
      <c r="F6" s="212">
        <v>0</v>
      </c>
      <c r="G6" s="212">
        <v>1</v>
      </c>
      <c r="H6" s="212">
        <v>4</v>
      </c>
      <c r="I6" s="212">
        <v>4</v>
      </c>
      <c r="J6" s="213">
        <v>0</v>
      </c>
      <c r="K6" s="213">
        <v>0</v>
      </c>
      <c r="L6" s="213">
        <f t="shared" si="0"/>
        <v>0</v>
      </c>
      <c r="M6" s="214">
        <f t="shared" si="1"/>
        <v>0</v>
      </c>
      <c r="N6" s="143">
        <f t="shared" si="2"/>
        <v>0</v>
      </c>
      <c r="O6" s="143">
        <f t="shared" si="3"/>
        <v>0</v>
      </c>
      <c r="P6" s="143">
        <f t="shared" si="12"/>
        <v>0</v>
      </c>
      <c r="Q6" s="143">
        <f t="shared" si="4"/>
        <v>0</v>
      </c>
      <c r="R6" s="143">
        <f t="shared" si="5"/>
        <v>0</v>
      </c>
      <c r="S6" s="143">
        <f t="shared" si="6"/>
        <v>0</v>
      </c>
      <c r="T6" s="143">
        <f t="shared" si="7"/>
        <v>0</v>
      </c>
      <c r="U6" s="143">
        <f t="shared" si="8"/>
        <v>0</v>
      </c>
      <c r="V6" s="29">
        <f t="shared" si="9"/>
        <v>0</v>
      </c>
      <c r="W6" s="29">
        <f t="shared" si="10"/>
        <v>0</v>
      </c>
      <c r="X6" s="30">
        <f t="shared" si="11"/>
        <v>0</v>
      </c>
      <c r="Y6" s="30">
        <f t="shared" si="11"/>
        <v>0</v>
      </c>
      <c r="Z6" s="2"/>
      <c r="AA6" s="3"/>
    </row>
    <row r="7" spans="1:27" ht="54.95" customHeight="1">
      <c r="A7" s="209">
        <v>4</v>
      </c>
      <c r="B7" s="280" t="s">
        <v>446</v>
      </c>
      <c r="C7" s="211">
        <v>4</v>
      </c>
      <c r="D7" s="212">
        <v>0</v>
      </c>
      <c r="E7" s="212">
        <v>1</v>
      </c>
      <c r="F7" s="212">
        <v>0</v>
      </c>
      <c r="G7" s="212">
        <v>1</v>
      </c>
      <c r="H7" s="212">
        <v>4</v>
      </c>
      <c r="I7" s="212">
        <v>4</v>
      </c>
      <c r="J7" s="213">
        <v>0</v>
      </c>
      <c r="K7" s="213">
        <v>0</v>
      </c>
      <c r="L7" s="213">
        <f t="shared" si="0"/>
        <v>0</v>
      </c>
      <c r="M7" s="214">
        <f t="shared" si="1"/>
        <v>0</v>
      </c>
      <c r="N7" s="143">
        <f t="shared" si="2"/>
        <v>0</v>
      </c>
      <c r="O7" s="143">
        <f t="shared" si="3"/>
        <v>0</v>
      </c>
      <c r="P7" s="143">
        <f t="shared" si="12"/>
        <v>0</v>
      </c>
      <c r="Q7" s="143">
        <f t="shared" si="4"/>
        <v>0</v>
      </c>
      <c r="R7" s="143">
        <f t="shared" si="5"/>
        <v>0</v>
      </c>
      <c r="S7" s="143">
        <f t="shared" si="6"/>
        <v>0</v>
      </c>
      <c r="T7" s="143">
        <f t="shared" si="7"/>
        <v>0</v>
      </c>
      <c r="U7" s="143">
        <f t="shared" si="8"/>
        <v>0</v>
      </c>
      <c r="V7" s="29">
        <f t="shared" si="9"/>
        <v>0</v>
      </c>
      <c r="W7" s="29">
        <f t="shared" si="10"/>
        <v>0</v>
      </c>
      <c r="X7" s="30">
        <f t="shared" si="11"/>
        <v>0</v>
      </c>
      <c r="Y7" s="30">
        <f t="shared" si="11"/>
        <v>0</v>
      </c>
      <c r="Z7" s="2"/>
      <c r="AA7" s="3"/>
    </row>
    <row r="8" spans="1:27" ht="54.95" customHeight="1">
      <c r="A8" s="209">
        <v>5</v>
      </c>
      <c r="B8" s="280" t="s">
        <v>447</v>
      </c>
      <c r="C8" s="211">
        <v>2</v>
      </c>
      <c r="D8" s="212">
        <v>0</v>
      </c>
      <c r="E8" s="212">
        <v>2</v>
      </c>
      <c r="F8" s="212">
        <v>1</v>
      </c>
      <c r="G8" s="212">
        <v>1</v>
      </c>
      <c r="H8" s="212">
        <v>1</v>
      </c>
      <c r="I8" s="212">
        <v>1</v>
      </c>
      <c r="J8" s="213">
        <v>0</v>
      </c>
      <c r="K8" s="213">
        <v>0</v>
      </c>
      <c r="L8" s="213">
        <f t="shared" si="0"/>
        <v>0</v>
      </c>
      <c r="M8" s="214">
        <f t="shared" si="1"/>
        <v>0</v>
      </c>
      <c r="N8" s="143">
        <f t="shared" si="2"/>
        <v>0</v>
      </c>
      <c r="O8" s="143">
        <f t="shared" si="3"/>
        <v>0</v>
      </c>
      <c r="P8" s="143">
        <f t="shared" si="12"/>
        <v>0</v>
      </c>
      <c r="Q8" s="143">
        <f t="shared" si="4"/>
        <v>0</v>
      </c>
      <c r="R8" s="143">
        <f t="shared" si="5"/>
        <v>0</v>
      </c>
      <c r="S8" s="143">
        <f t="shared" si="6"/>
        <v>0</v>
      </c>
      <c r="T8" s="143">
        <f t="shared" si="7"/>
        <v>0</v>
      </c>
      <c r="U8" s="143">
        <f t="shared" si="8"/>
        <v>0</v>
      </c>
      <c r="V8" s="29">
        <f t="shared" si="9"/>
        <v>0</v>
      </c>
      <c r="W8" s="29">
        <f t="shared" si="10"/>
        <v>0</v>
      </c>
      <c r="X8" s="30">
        <f t="shared" si="11"/>
        <v>0</v>
      </c>
      <c r="Y8" s="30">
        <f t="shared" si="11"/>
        <v>0</v>
      </c>
      <c r="Z8" s="2"/>
      <c r="AA8" s="3"/>
    </row>
    <row r="9" spans="1:27" ht="54.95" customHeight="1">
      <c r="A9" s="209">
        <v>6</v>
      </c>
      <c r="B9" s="280" t="s">
        <v>448</v>
      </c>
      <c r="C9" s="211">
        <v>2</v>
      </c>
      <c r="D9" s="212">
        <v>0</v>
      </c>
      <c r="E9" s="212">
        <v>2</v>
      </c>
      <c r="F9" s="212">
        <v>1</v>
      </c>
      <c r="G9" s="212">
        <v>1</v>
      </c>
      <c r="H9" s="212">
        <v>1</v>
      </c>
      <c r="I9" s="212">
        <v>1</v>
      </c>
      <c r="J9" s="213">
        <v>0</v>
      </c>
      <c r="K9" s="213">
        <v>0</v>
      </c>
      <c r="L9" s="213">
        <f t="shared" si="0"/>
        <v>0</v>
      </c>
      <c r="M9" s="214">
        <f t="shared" si="1"/>
        <v>0</v>
      </c>
      <c r="N9" s="143">
        <f t="shared" si="2"/>
        <v>0</v>
      </c>
      <c r="O9" s="143">
        <f t="shared" si="3"/>
        <v>0</v>
      </c>
      <c r="P9" s="143">
        <f t="shared" si="12"/>
        <v>0</v>
      </c>
      <c r="Q9" s="143">
        <f t="shared" si="4"/>
        <v>0</v>
      </c>
      <c r="R9" s="143">
        <f t="shared" si="5"/>
        <v>0</v>
      </c>
      <c r="S9" s="143">
        <f t="shared" si="6"/>
        <v>0</v>
      </c>
      <c r="T9" s="143">
        <f t="shared" si="7"/>
        <v>0</v>
      </c>
      <c r="U9" s="143">
        <f t="shared" si="8"/>
        <v>0</v>
      </c>
      <c r="V9" s="29">
        <f t="shared" si="9"/>
        <v>0</v>
      </c>
      <c r="W9" s="29">
        <f t="shared" si="10"/>
        <v>0</v>
      </c>
      <c r="X9" s="30">
        <f t="shared" si="11"/>
        <v>0</v>
      </c>
      <c r="Y9" s="30">
        <f t="shared" si="11"/>
        <v>0</v>
      </c>
      <c r="Z9" s="2"/>
      <c r="AA9" s="3"/>
    </row>
    <row r="10" spans="1:27" s="130" customFormat="1" ht="54.95" customHeight="1">
      <c r="A10" s="209">
        <v>7</v>
      </c>
      <c r="B10" s="280" t="s">
        <v>449</v>
      </c>
      <c r="C10" s="211">
        <v>1.5</v>
      </c>
      <c r="D10" s="212">
        <v>0</v>
      </c>
      <c r="E10" s="212">
        <v>2</v>
      </c>
      <c r="F10" s="212">
        <v>1</v>
      </c>
      <c r="G10" s="212">
        <v>1</v>
      </c>
      <c r="H10" s="212">
        <v>1</v>
      </c>
      <c r="I10" s="212">
        <v>1</v>
      </c>
      <c r="J10" s="213">
        <v>0</v>
      </c>
      <c r="K10" s="213">
        <v>0</v>
      </c>
      <c r="L10" s="213">
        <f t="shared" si="0"/>
        <v>0</v>
      </c>
      <c r="M10" s="214">
        <f t="shared" si="1"/>
        <v>0</v>
      </c>
      <c r="N10" s="143">
        <f t="shared" si="2"/>
        <v>0</v>
      </c>
      <c r="O10" s="143">
        <f t="shared" si="3"/>
        <v>0</v>
      </c>
      <c r="P10" s="143">
        <f t="shared" si="12"/>
        <v>0</v>
      </c>
      <c r="Q10" s="143">
        <f t="shared" si="4"/>
        <v>0</v>
      </c>
      <c r="R10" s="143">
        <f t="shared" si="5"/>
        <v>0</v>
      </c>
      <c r="S10" s="143">
        <f t="shared" si="6"/>
        <v>0</v>
      </c>
      <c r="T10" s="143">
        <f t="shared" si="7"/>
        <v>0</v>
      </c>
      <c r="U10" s="143">
        <f t="shared" si="8"/>
        <v>0</v>
      </c>
      <c r="V10" s="29">
        <f t="shared" si="9"/>
        <v>0</v>
      </c>
      <c r="W10" s="29">
        <f t="shared" si="10"/>
        <v>0</v>
      </c>
      <c r="X10" s="30">
        <f t="shared" si="11"/>
        <v>0</v>
      </c>
      <c r="Y10" s="30">
        <f t="shared" si="11"/>
        <v>0</v>
      </c>
    </row>
    <row r="11" spans="1:27" s="130" customFormat="1" ht="54.95" customHeight="1">
      <c r="A11" s="209">
        <v>8</v>
      </c>
      <c r="B11" s="280" t="s">
        <v>450</v>
      </c>
      <c r="C11" s="211">
        <v>2.5</v>
      </c>
      <c r="D11" s="212">
        <v>0</v>
      </c>
      <c r="E11" s="212">
        <v>2</v>
      </c>
      <c r="F11" s="212">
        <v>1</v>
      </c>
      <c r="G11" s="212">
        <v>1</v>
      </c>
      <c r="H11" s="212">
        <v>1</v>
      </c>
      <c r="I11" s="212">
        <v>1</v>
      </c>
      <c r="J11" s="213">
        <v>0</v>
      </c>
      <c r="K11" s="213">
        <v>0</v>
      </c>
      <c r="L11" s="213">
        <f t="shared" si="0"/>
        <v>0</v>
      </c>
      <c r="M11" s="214">
        <f t="shared" si="1"/>
        <v>0</v>
      </c>
      <c r="N11" s="143">
        <f t="shared" si="2"/>
        <v>0</v>
      </c>
      <c r="O11" s="143">
        <f t="shared" si="3"/>
        <v>0</v>
      </c>
      <c r="P11" s="143">
        <f t="shared" si="12"/>
        <v>0</v>
      </c>
      <c r="Q11" s="143">
        <f t="shared" si="4"/>
        <v>0</v>
      </c>
      <c r="R11" s="143">
        <f t="shared" si="5"/>
        <v>0</v>
      </c>
      <c r="S11" s="143">
        <f t="shared" si="6"/>
        <v>0</v>
      </c>
      <c r="T11" s="143">
        <f t="shared" si="7"/>
        <v>0</v>
      </c>
      <c r="U11" s="143">
        <f t="shared" si="8"/>
        <v>0</v>
      </c>
      <c r="V11" s="29">
        <f t="shared" si="9"/>
        <v>0</v>
      </c>
      <c r="W11" s="29">
        <f t="shared" si="10"/>
        <v>0</v>
      </c>
      <c r="X11" s="30">
        <f t="shared" si="11"/>
        <v>0</v>
      </c>
      <c r="Y11" s="30">
        <f t="shared" si="11"/>
        <v>0</v>
      </c>
    </row>
    <row r="12" spans="1:27" s="130" customFormat="1" ht="54.95" customHeight="1">
      <c r="A12" s="209">
        <v>9</v>
      </c>
      <c r="B12" s="280" t="s">
        <v>245</v>
      </c>
      <c r="C12" s="211">
        <v>1.1999999999999999E-3</v>
      </c>
      <c r="D12" s="212">
        <v>0</v>
      </c>
      <c r="E12" s="212">
        <v>0</v>
      </c>
      <c r="F12" s="212">
        <v>0</v>
      </c>
      <c r="G12" s="212">
        <v>1</v>
      </c>
      <c r="H12" s="212">
        <v>1</v>
      </c>
      <c r="I12" s="212">
        <v>4</v>
      </c>
      <c r="J12" s="213">
        <v>0</v>
      </c>
      <c r="K12" s="213">
        <v>0</v>
      </c>
      <c r="L12" s="213">
        <f t="shared" si="0"/>
        <v>0</v>
      </c>
      <c r="M12" s="214">
        <f t="shared" si="1"/>
        <v>0</v>
      </c>
      <c r="N12" s="143">
        <f t="shared" si="2"/>
        <v>0</v>
      </c>
      <c r="O12" s="143">
        <f t="shared" si="3"/>
        <v>0</v>
      </c>
      <c r="P12" s="143">
        <f t="shared" si="12"/>
        <v>0</v>
      </c>
      <c r="Q12" s="143">
        <f t="shared" si="4"/>
        <v>0</v>
      </c>
      <c r="R12" s="143">
        <f t="shared" si="5"/>
        <v>0</v>
      </c>
      <c r="S12" s="143">
        <f t="shared" si="6"/>
        <v>0</v>
      </c>
      <c r="T12" s="143">
        <f t="shared" si="7"/>
        <v>0</v>
      </c>
      <c r="U12" s="143">
        <f t="shared" si="8"/>
        <v>0</v>
      </c>
      <c r="V12" s="29">
        <f t="shared" si="9"/>
        <v>0</v>
      </c>
      <c r="W12" s="29">
        <f t="shared" si="10"/>
        <v>0</v>
      </c>
      <c r="X12" s="30">
        <f t="shared" si="11"/>
        <v>0</v>
      </c>
      <c r="Y12" s="30">
        <f t="shared" si="11"/>
        <v>0</v>
      </c>
    </row>
    <row r="13" spans="1:27" s="130" customFormat="1" ht="54.95" customHeight="1">
      <c r="A13" s="209">
        <v>10</v>
      </c>
      <c r="B13" s="280" t="s">
        <v>246</v>
      </c>
      <c r="C13" s="211">
        <v>6.0000000000000001E-3</v>
      </c>
      <c r="D13" s="212">
        <v>0</v>
      </c>
      <c r="E13" s="212">
        <v>0</v>
      </c>
      <c r="F13" s="212">
        <v>0</v>
      </c>
      <c r="G13" s="212">
        <v>1</v>
      </c>
      <c r="H13" s="212">
        <v>1</v>
      </c>
      <c r="I13" s="212">
        <v>4</v>
      </c>
      <c r="J13" s="213">
        <v>0</v>
      </c>
      <c r="K13" s="213">
        <v>0</v>
      </c>
      <c r="L13" s="213">
        <f t="shared" si="0"/>
        <v>0</v>
      </c>
      <c r="M13" s="214">
        <f t="shared" si="1"/>
        <v>0</v>
      </c>
      <c r="N13" s="143">
        <f t="shared" si="2"/>
        <v>0</v>
      </c>
      <c r="O13" s="143">
        <f t="shared" si="3"/>
        <v>0</v>
      </c>
      <c r="P13" s="143">
        <f t="shared" si="12"/>
        <v>0</v>
      </c>
      <c r="Q13" s="143">
        <f t="shared" si="4"/>
        <v>0</v>
      </c>
      <c r="R13" s="143">
        <f t="shared" si="5"/>
        <v>0</v>
      </c>
      <c r="S13" s="143">
        <f t="shared" si="6"/>
        <v>0</v>
      </c>
      <c r="T13" s="143">
        <f t="shared" si="7"/>
        <v>0</v>
      </c>
      <c r="U13" s="143">
        <f t="shared" si="8"/>
        <v>0</v>
      </c>
      <c r="V13" s="29">
        <f t="shared" si="9"/>
        <v>0</v>
      </c>
      <c r="W13" s="29">
        <f t="shared" si="10"/>
        <v>0</v>
      </c>
      <c r="X13" s="30">
        <f t="shared" si="11"/>
        <v>0</v>
      </c>
      <c r="Y13" s="30">
        <f t="shared" si="11"/>
        <v>0</v>
      </c>
    </row>
    <row r="14" spans="1:27" s="130" customFormat="1" ht="54.95" customHeight="1">
      <c r="A14" s="209">
        <v>11</v>
      </c>
      <c r="B14" s="280" t="s">
        <v>247</v>
      </c>
      <c r="C14" s="211">
        <v>8.0000000000000002E-3</v>
      </c>
      <c r="D14" s="212">
        <v>0</v>
      </c>
      <c r="E14" s="212">
        <v>0</v>
      </c>
      <c r="F14" s="212">
        <v>0</v>
      </c>
      <c r="G14" s="212">
        <v>1</v>
      </c>
      <c r="H14" s="212">
        <v>1</v>
      </c>
      <c r="I14" s="212">
        <v>4</v>
      </c>
      <c r="J14" s="213">
        <v>0</v>
      </c>
      <c r="K14" s="213">
        <v>0</v>
      </c>
      <c r="L14" s="213">
        <f t="shared" si="0"/>
        <v>0</v>
      </c>
      <c r="M14" s="214">
        <f t="shared" si="1"/>
        <v>0</v>
      </c>
      <c r="N14" s="143">
        <f t="shared" si="2"/>
        <v>0</v>
      </c>
      <c r="O14" s="143">
        <f t="shared" si="3"/>
        <v>0</v>
      </c>
      <c r="P14" s="143">
        <f t="shared" si="12"/>
        <v>0</v>
      </c>
      <c r="Q14" s="143">
        <f t="shared" si="4"/>
        <v>0</v>
      </c>
      <c r="R14" s="143">
        <f t="shared" si="5"/>
        <v>0</v>
      </c>
      <c r="S14" s="143">
        <f t="shared" si="6"/>
        <v>0</v>
      </c>
      <c r="T14" s="143">
        <f t="shared" si="7"/>
        <v>0</v>
      </c>
      <c r="U14" s="143">
        <f t="shared" si="8"/>
        <v>0</v>
      </c>
      <c r="V14" s="29">
        <f t="shared" si="9"/>
        <v>0</v>
      </c>
      <c r="W14" s="29">
        <f t="shared" si="10"/>
        <v>0</v>
      </c>
      <c r="X14" s="30">
        <f t="shared" si="11"/>
        <v>0</v>
      </c>
      <c r="Y14" s="30">
        <f t="shared" si="11"/>
        <v>0</v>
      </c>
    </row>
    <row r="15" spans="1:27" ht="54.95" customHeight="1">
      <c r="A15" s="209">
        <v>12</v>
      </c>
      <c r="B15" s="280" t="s">
        <v>451</v>
      </c>
      <c r="C15" s="211">
        <v>1</v>
      </c>
      <c r="D15" s="212">
        <v>0</v>
      </c>
      <c r="E15" s="212">
        <v>1</v>
      </c>
      <c r="F15" s="212">
        <v>0</v>
      </c>
      <c r="G15" s="212">
        <v>0</v>
      </c>
      <c r="H15" s="212">
        <v>1</v>
      </c>
      <c r="I15" s="212">
        <v>2</v>
      </c>
      <c r="J15" s="213">
        <v>0</v>
      </c>
      <c r="K15" s="213">
        <v>0</v>
      </c>
      <c r="L15" s="213">
        <f t="shared" si="0"/>
        <v>0</v>
      </c>
      <c r="M15" s="214">
        <f t="shared" si="1"/>
        <v>0</v>
      </c>
      <c r="N15" s="143">
        <f t="shared" si="2"/>
        <v>0</v>
      </c>
      <c r="O15" s="143">
        <f t="shared" si="3"/>
        <v>0</v>
      </c>
      <c r="P15" s="143">
        <f t="shared" si="12"/>
        <v>0</v>
      </c>
      <c r="Q15" s="143">
        <f t="shared" si="4"/>
        <v>0</v>
      </c>
      <c r="R15" s="143">
        <f t="shared" si="5"/>
        <v>0</v>
      </c>
      <c r="S15" s="143">
        <f t="shared" si="6"/>
        <v>0</v>
      </c>
      <c r="T15" s="143">
        <f t="shared" si="7"/>
        <v>0</v>
      </c>
      <c r="U15" s="143">
        <f t="shared" si="8"/>
        <v>0</v>
      </c>
      <c r="V15" s="29">
        <f t="shared" si="9"/>
        <v>0</v>
      </c>
      <c r="W15" s="29">
        <f t="shared" si="10"/>
        <v>0</v>
      </c>
      <c r="X15" s="30">
        <f t="shared" si="11"/>
        <v>0</v>
      </c>
      <c r="Y15" s="30">
        <f t="shared" si="11"/>
        <v>0</v>
      </c>
      <c r="Z15" s="2"/>
      <c r="AA15" s="3"/>
    </row>
    <row r="16" spans="1:27" ht="54.95" customHeight="1">
      <c r="A16" s="209">
        <v>13</v>
      </c>
      <c r="B16" s="280" t="s">
        <v>452</v>
      </c>
      <c r="C16" s="211">
        <v>0.5</v>
      </c>
      <c r="D16" s="212">
        <v>0</v>
      </c>
      <c r="E16" s="212">
        <v>1</v>
      </c>
      <c r="F16" s="212">
        <v>0</v>
      </c>
      <c r="G16" s="212">
        <v>0</v>
      </c>
      <c r="H16" s="212">
        <v>1</v>
      </c>
      <c r="I16" s="212">
        <v>2</v>
      </c>
      <c r="J16" s="213">
        <v>0</v>
      </c>
      <c r="K16" s="213">
        <v>0</v>
      </c>
      <c r="L16" s="213">
        <f t="shared" si="0"/>
        <v>0</v>
      </c>
      <c r="M16" s="214">
        <f t="shared" si="1"/>
        <v>0</v>
      </c>
      <c r="N16" s="143">
        <f t="shared" si="2"/>
        <v>0</v>
      </c>
      <c r="O16" s="143">
        <f t="shared" si="3"/>
        <v>0</v>
      </c>
      <c r="P16" s="143">
        <f t="shared" si="12"/>
        <v>0</v>
      </c>
      <c r="Q16" s="143">
        <f t="shared" si="4"/>
        <v>0</v>
      </c>
      <c r="R16" s="143">
        <f t="shared" si="5"/>
        <v>0</v>
      </c>
      <c r="S16" s="143">
        <f t="shared" si="6"/>
        <v>0</v>
      </c>
      <c r="T16" s="143">
        <f t="shared" si="7"/>
        <v>0</v>
      </c>
      <c r="U16" s="143">
        <f t="shared" si="8"/>
        <v>0</v>
      </c>
      <c r="V16" s="29">
        <f t="shared" si="9"/>
        <v>0</v>
      </c>
      <c r="W16" s="29">
        <f t="shared" si="10"/>
        <v>0</v>
      </c>
      <c r="X16" s="30">
        <f t="shared" si="11"/>
        <v>0</v>
      </c>
      <c r="Y16" s="30">
        <f t="shared" si="11"/>
        <v>0</v>
      </c>
      <c r="Z16" s="2"/>
      <c r="AA16" s="3"/>
    </row>
    <row r="17" spans="1:27" ht="54.95" customHeight="1">
      <c r="A17" s="209">
        <v>14</v>
      </c>
      <c r="B17" s="280" t="s">
        <v>453</v>
      </c>
      <c r="C17" s="211">
        <v>1</v>
      </c>
      <c r="D17" s="212">
        <v>0</v>
      </c>
      <c r="E17" s="212">
        <v>1</v>
      </c>
      <c r="F17" s="212">
        <v>0</v>
      </c>
      <c r="G17" s="212">
        <v>0</v>
      </c>
      <c r="H17" s="212">
        <v>1</v>
      </c>
      <c r="I17" s="212">
        <v>2</v>
      </c>
      <c r="J17" s="213">
        <v>0</v>
      </c>
      <c r="K17" s="213">
        <v>0</v>
      </c>
      <c r="L17" s="213">
        <f t="shared" si="0"/>
        <v>0</v>
      </c>
      <c r="M17" s="214">
        <f t="shared" si="1"/>
        <v>0</v>
      </c>
      <c r="N17" s="143">
        <f t="shared" si="2"/>
        <v>0</v>
      </c>
      <c r="O17" s="143">
        <f t="shared" si="3"/>
        <v>0</v>
      </c>
      <c r="P17" s="143">
        <f t="shared" si="12"/>
        <v>0</v>
      </c>
      <c r="Q17" s="143">
        <f t="shared" si="4"/>
        <v>0</v>
      </c>
      <c r="R17" s="143">
        <f t="shared" si="5"/>
        <v>0</v>
      </c>
      <c r="S17" s="143">
        <f t="shared" si="6"/>
        <v>0</v>
      </c>
      <c r="T17" s="143">
        <f t="shared" si="7"/>
        <v>0</v>
      </c>
      <c r="U17" s="143">
        <f t="shared" si="8"/>
        <v>0</v>
      </c>
      <c r="V17" s="29">
        <f t="shared" si="9"/>
        <v>0</v>
      </c>
      <c r="W17" s="29">
        <f t="shared" si="10"/>
        <v>0</v>
      </c>
      <c r="X17" s="30">
        <f t="shared" si="11"/>
        <v>0</v>
      </c>
      <c r="Y17" s="30">
        <f t="shared" si="11"/>
        <v>0</v>
      </c>
      <c r="Z17" s="2"/>
      <c r="AA17" s="3"/>
    </row>
    <row r="18" spans="1:27" ht="54.95" customHeight="1">
      <c r="A18" s="209">
        <v>15</v>
      </c>
      <c r="B18" s="280" t="s">
        <v>454</v>
      </c>
      <c r="C18" s="211">
        <v>0.5</v>
      </c>
      <c r="D18" s="212">
        <v>0</v>
      </c>
      <c r="E18" s="212">
        <v>1</v>
      </c>
      <c r="F18" s="212">
        <v>0</v>
      </c>
      <c r="G18" s="212">
        <v>0</v>
      </c>
      <c r="H18" s="212">
        <v>1</v>
      </c>
      <c r="I18" s="212">
        <v>2</v>
      </c>
      <c r="J18" s="213">
        <v>0</v>
      </c>
      <c r="K18" s="213">
        <v>0</v>
      </c>
      <c r="L18" s="213">
        <f t="shared" si="0"/>
        <v>0</v>
      </c>
      <c r="M18" s="214">
        <f t="shared" si="1"/>
        <v>0</v>
      </c>
      <c r="N18" s="143">
        <f t="shared" si="2"/>
        <v>0</v>
      </c>
      <c r="O18" s="143">
        <f t="shared" si="3"/>
        <v>0</v>
      </c>
      <c r="P18" s="143">
        <f t="shared" si="12"/>
        <v>0</v>
      </c>
      <c r="Q18" s="143">
        <f t="shared" si="4"/>
        <v>0</v>
      </c>
      <c r="R18" s="143">
        <f t="shared" si="5"/>
        <v>0</v>
      </c>
      <c r="S18" s="143">
        <f t="shared" si="6"/>
        <v>0</v>
      </c>
      <c r="T18" s="143">
        <f t="shared" si="7"/>
        <v>0</v>
      </c>
      <c r="U18" s="143">
        <f t="shared" si="8"/>
        <v>0</v>
      </c>
      <c r="V18" s="29">
        <f t="shared" si="9"/>
        <v>0</v>
      </c>
      <c r="W18" s="29">
        <f t="shared" si="10"/>
        <v>0</v>
      </c>
      <c r="X18" s="30">
        <f t="shared" si="11"/>
        <v>0</v>
      </c>
      <c r="Y18" s="30">
        <f t="shared" si="11"/>
        <v>0</v>
      </c>
      <c r="Z18" s="2"/>
      <c r="AA18" s="3"/>
    </row>
    <row r="19" spans="1:27" s="2" customFormat="1" ht="54.95" customHeight="1">
      <c r="A19" s="377" t="s">
        <v>158</v>
      </c>
      <c r="B19" s="377"/>
      <c r="C19" s="378" t="s">
        <v>80</v>
      </c>
      <c r="D19" s="378"/>
      <c r="E19" s="378"/>
      <c r="F19" s="378"/>
      <c r="G19" s="378"/>
      <c r="H19" s="378"/>
      <c r="I19" s="378"/>
      <c r="J19" s="378"/>
      <c r="K19" s="378"/>
      <c r="L19" s="239">
        <f t="shared" ref="L19:Y19" si="13">SUM(L4:L18)</f>
        <v>0</v>
      </c>
      <c r="M19" s="239">
        <f t="shared" si="13"/>
        <v>0</v>
      </c>
      <c r="N19" s="127">
        <f t="shared" si="13"/>
        <v>0</v>
      </c>
      <c r="O19" s="127">
        <f t="shared" si="13"/>
        <v>0</v>
      </c>
      <c r="P19" s="127">
        <f t="shared" si="13"/>
        <v>0</v>
      </c>
      <c r="Q19" s="127">
        <f t="shared" si="13"/>
        <v>0</v>
      </c>
      <c r="R19" s="127">
        <f t="shared" si="13"/>
        <v>0</v>
      </c>
      <c r="S19" s="127">
        <f t="shared" si="13"/>
        <v>0</v>
      </c>
      <c r="T19" s="127">
        <f t="shared" si="13"/>
        <v>0</v>
      </c>
      <c r="U19" s="127">
        <f t="shared" si="13"/>
        <v>0</v>
      </c>
      <c r="V19" s="127">
        <f t="shared" si="13"/>
        <v>0</v>
      </c>
      <c r="W19" s="127">
        <f t="shared" si="13"/>
        <v>0</v>
      </c>
      <c r="X19" s="127">
        <f t="shared" si="13"/>
        <v>0</v>
      </c>
      <c r="Y19" s="127">
        <f t="shared" si="13"/>
        <v>0</v>
      </c>
    </row>
    <row r="20" spans="1:27" s="2" customFormat="1" ht="54.95" customHeight="1">
      <c r="A20" s="379" t="s">
        <v>160</v>
      </c>
      <c r="B20" s="379"/>
      <c r="C20" s="379"/>
      <c r="D20" s="379"/>
      <c r="E20" s="379"/>
      <c r="F20" s="379"/>
      <c r="G20" s="379"/>
      <c r="H20" s="379"/>
      <c r="I20" s="379"/>
      <c r="J20" s="379"/>
      <c r="K20" s="379"/>
      <c r="L20" s="379"/>
      <c r="M20" s="216">
        <v>40</v>
      </c>
      <c r="N20" s="29"/>
      <c r="O20" s="29"/>
      <c r="P20" s="29"/>
      <c r="Q20" s="29"/>
      <c r="R20" s="29"/>
      <c r="S20" s="29"/>
      <c r="T20" s="29"/>
      <c r="U20" s="29"/>
      <c r="V20" s="29"/>
      <c r="W20" s="29"/>
      <c r="X20" s="30"/>
      <c r="Y20" s="30"/>
      <c r="Z20" s="124"/>
    </row>
    <row r="21" spans="1:27" s="2" customFormat="1" ht="54.95" customHeight="1">
      <c r="A21" s="3"/>
      <c r="B21" s="3"/>
      <c r="C21" s="125"/>
      <c r="D21" s="126"/>
      <c r="E21" s="126"/>
      <c r="F21" s="126"/>
      <c r="G21" s="126"/>
      <c r="H21" s="126"/>
      <c r="I21" s="126"/>
      <c r="J21" s="3"/>
      <c r="K21" s="3"/>
      <c r="L21" s="3"/>
      <c r="N21" s="29"/>
      <c r="O21" s="29"/>
      <c r="P21" s="29"/>
      <c r="Q21" s="29"/>
      <c r="R21" s="29"/>
      <c r="S21" s="29"/>
      <c r="T21" s="29"/>
      <c r="U21" s="29"/>
      <c r="V21" s="29"/>
      <c r="W21" s="29"/>
      <c r="X21" s="30"/>
      <c r="Y21" s="30"/>
      <c r="Z21" s="121"/>
    </row>
    <row r="22" spans="1:27" s="2" customFormat="1" ht="54.95" customHeight="1">
      <c r="A22" s="3"/>
      <c r="B22" s="3"/>
      <c r="C22" s="125"/>
      <c r="D22" s="126"/>
      <c r="E22" s="126"/>
      <c r="F22" s="126"/>
      <c r="G22" s="126"/>
      <c r="H22" s="126"/>
      <c r="I22" s="126"/>
      <c r="J22" s="3"/>
      <c r="K22" s="3"/>
      <c r="L22" s="3"/>
      <c r="N22" s="29"/>
      <c r="O22" s="29"/>
      <c r="P22" s="29"/>
      <c r="Q22" s="29"/>
      <c r="R22" s="29"/>
      <c r="S22" s="29"/>
      <c r="T22" s="29"/>
      <c r="U22" s="29"/>
      <c r="V22" s="29"/>
      <c r="W22" s="29"/>
      <c r="X22" s="30"/>
      <c r="Y22" s="30"/>
      <c r="Z22" s="121"/>
    </row>
    <row r="23" spans="1:27" s="2" customFormat="1" ht="54.95" customHeight="1">
      <c r="A23" s="3"/>
      <c r="B23" s="3"/>
      <c r="C23" s="125"/>
      <c r="D23" s="126"/>
      <c r="E23" s="126"/>
      <c r="F23" s="126"/>
      <c r="G23" s="126"/>
      <c r="H23" s="126"/>
      <c r="I23" s="126"/>
      <c r="J23" s="3"/>
      <c r="K23" s="3"/>
      <c r="L23" s="3"/>
      <c r="N23" s="29"/>
      <c r="O23" s="29"/>
      <c r="P23" s="29"/>
      <c r="Q23" s="29"/>
      <c r="R23" s="29"/>
      <c r="S23" s="29"/>
      <c r="T23" s="29"/>
      <c r="U23" s="29"/>
      <c r="V23" s="29"/>
      <c r="W23" s="29"/>
      <c r="X23" s="30"/>
      <c r="Y23" s="30"/>
      <c r="Z23" s="121"/>
    </row>
    <row r="24" spans="1:27" s="2" customFormat="1" ht="54.95" customHeight="1">
      <c r="A24" s="3"/>
      <c r="B24" s="3"/>
      <c r="C24" s="125"/>
      <c r="D24" s="126"/>
      <c r="E24" s="126"/>
      <c r="F24" s="126"/>
      <c r="G24" s="126"/>
      <c r="H24" s="126"/>
      <c r="I24" s="126"/>
      <c r="J24" s="3"/>
      <c r="K24" s="3"/>
      <c r="L24" s="3"/>
      <c r="N24" s="29"/>
      <c r="O24" s="29"/>
      <c r="P24" s="29"/>
      <c r="Q24" s="29"/>
      <c r="R24" s="29"/>
      <c r="S24" s="29"/>
      <c r="T24" s="29"/>
      <c r="U24" s="29"/>
      <c r="V24" s="29"/>
      <c r="W24" s="29"/>
      <c r="X24" s="30"/>
      <c r="Y24" s="30"/>
      <c r="Z24" s="121"/>
    </row>
    <row r="25" spans="1:27" s="2" customFormat="1" ht="54.95" customHeight="1">
      <c r="A25" s="3"/>
      <c r="B25" s="3"/>
      <c r="C25" s="125"/>
      <c r="D25" s="126"/>
      <c r="E25" s="126"/>
      <c r="F25" s="126"/>
      <c r="G25" s="126"/>
      <c r="H25" s="126"/>
      <c r="I25" s="126"/>
      <c r="J25" s="3"/>
      <c r="K25" s="3"/>
      <c r="L25" s="3"/>
      <c r="N25" s="29"/>
      <c r="O25" s="29"/>
      <c r="P25" s="29"/>
      <c r="Q25" s="29"/>
      <c r="R25" s="29"/>
      <c r="S25" s="29"/>
      <c r="T25" s="29"/>
      <c r="U25" s="29"/>
      <c r="V25" s="29"/>
      <c r="W25" s="29"/>
      <c r="X25" s="30"/>
      <c r="Y25" s="30"/>
      <c r="Z25" s="121"/>
    </row>
    <row r="26" spans="1:27" s="2" customFormat="1" ht="54.95" customHeight="1">
      <c r="A26" s="3"/>
      <c r="B26" s="3"/>
      <c r="C26" s="125"/>
      <c r="D26" s="126"/>
      <c r="E26" s="126"/>
      <c r="F26" s="126"/>
      <c r="G26" s="126"/>
      <c r="H26" s="126"/>
      <c r="I26" s="126"/>
      <c r="J26" s="3"/>
      <c r="K26" s="3"/>
      <c r="L26" s="3"/>
      <c r="N26" s="29"/>
      <c r="O26" s="29"/>
      <c r="P26" s="29"/>
      <c r="Q26" s="29"/>
      <c r="R26" s="29"/>
      <c r="S26" s="29"/>
      <c r="T26" s="29"/>
      <c r="U26" s="29"/>
      <c r="V26" s="29"/>
      <c r="W26" s="29"/>
      <c r="X26" s="30"/>
      <c r="Y26" s="30"/>
      <c r="Z26" s="121"/>
    </row>
    <row r="27" spans="1:27" s="2" customFormat="1" ht="54.95" customHeight="1">
      <c r="A27" s="3"/>
      <c r="B27" s="3"/>
      <c r="C27" s="125"/>
      <c r="D27" s="126"/>
      <c r="E27" s="126"/>
      <c r="F27" s="126"/>
      <c r="G27" s="126"/>
      <c r="H27" s="126"/>
      <c r="I27" s="126"/>
      <c r="J27" s="3"/>
      <c r="K27" s="3"/>
      <c r="L27" s="3"/>
      <c r="N27" s="29"/>
      <c r="O27" s="29"/>
      <c r="P27" s="29"/>
      <c r="Q27" s="29"/>
      <c r="R27" s="29"/>
      <c r="S27" s="29"/>
      <c r="T27" s="29"/>
      <c r="U27" s="29"/>
      <c r="V27" s="29"/>
      <c r="W27" s="29"/>
      <c r="X27" s="30"/>
      <c r="Y27" s="30"/>
      <c r="Z27" s="121"/>
    </row>
    <row r="28" spans="1:27" s="2" customFormat="1" ht="54.95" customHeight="1">
      <c r="A28" s="3"/>
      <c r="B28" s="3"/>
      <c r="C28" s="125"/>
      <c r="D28" s="126"/>
      <c r="E28" s="126"/>
      <c r="F28" s="126"/>
      <c r="G28" s="126"/>
      <c r="H28" s="126"/>
      <c r="I28" s="126"/>
      <c r="J28" s="3"/>
      <c r="K28" s="3"/>
      <c r="L28" s="3"/>
      <c r="N28" s="29"/>
      <c r="O28" s="29"/>
      <c r="P28" s="29"/>
      <c r="Q28" s="29"/>
      <c r="R28" s="29"/>
      <c r="S28" s="29"/>
      <c r="T28" s="29"/>
      <c r="U28" s="29"/>
      <c r="V28" s="29"/>
      <c r="W28" s="29"/>
      <c r="X28" s="127"/>
      <c r="Y28" s="127"/>
      <c r="Z28" s="121"/>
    </row>
    <row r="29" spans="1:27" s="2" customFormat="1" ht="54.95" customHeight="1">
      <c r="A29" s="3"/>
      <c r="B29" s="3"/>
      <c r="C29" s="125"/>
      <c r="D29" s="126"/>
      <c r="E29" s="126"/>
      <c r="F29" s="126"/>
      <c r="G29" s="126"/>
      <c r="H29" s="126"/>
      <c r="I29" s="126"/>
      <c r="J29" s="3"/>
      <c r="K29" s="3"/>
      <c r="L29" s="3"/>
      <c r="N29" s="29"/>
      <c r="O29" s="29"/>
      <c r="P29" s="29"/>
      <c r="Q29" s="29"/>
      <c r="R29" s="29"/>
      <c r="S29" s="29"/>
      <c r="T29" s="29"/>
      <c r="U29" s="29"/>
      <c r="V29" s="29"/>
      <c r="W29" s="29"/>
      <c r="X29" s="29"/>
      <c r="Y29" s="29"/>
      <c r="Z29" s="121"/>
    </row>
    <row r="30" spans="1:27" s="2" customFormat="1" ht="54.95" customHeight="1">
      <c r="A30" s="3"/>
      <c r="B30" s="3"/>
      <c r="C30" s="125"/>
      <c r="D30" s="126"/>
      <c r="E30" s="126"/>
      <c r="F30" s="126"/>
      <c r="G30" s="126"/>
      <c r="H30" s="126"/>
      <c r="I30" s="126"/>
      <c r="J30" s="3"/>
      <c r="K30" s="3"/>
      <c r="L30" s="3"/>
      <c r="N30" s="29"/>
      <c r="O30" s="29"/>
      <c r="P30" s="29"/>
      <c r="Q30" s="29"/>
      <c r="R30" s="29"/>
      <c r="S30" s="29"/>
      <c r="T30" s="29"/>
      <c r="U30" s="29"/>
      <c r="V30" s="29"/>
      <c r="W30" s="29"/>
      <c r="X30" s="30"/>
      <c r="Y30" s="30"/>
      <c r="Z30" s="121"/>
    </row>
    <row r="31" spans="1:27" s="2" customFormat="1" ht="54.95" customHeight="1">
      <c r="A31" s="3"/>
      <c r="B31" s="3"/>
      <c r="C31" s="125"/>
      <c r="D31" s="126"/>
      <c r="E31" s="126"/>
      <c r="F31" s="126"/>
      <c r="G31" s="126"/>
      <c r="H31" s="126"/>
      <c r="I31" s="126"/>
      <c r="J31" s="3"/>
      <c r="K31" s="3"/>
      <c r="L31" s="3"/>
      <c r="N31" s="29"/>
      <c r="O31" s="29"/>
      <c r="P31" s="29"/>
      <c r="Q31" s="29"/>
      <c r="R31" s="29"/>
      <c r="S31" s="29"/>
      <c r="T31" s="29"/>
      <c r="U31" s="29"/>
      <c r="V31" s="29"/>
      <c r="W31" s="29"/>
      <c r="X31" s="30"/>
      <c r="Y31" s="30"/>
      <c r="Z31" s="121"/>
    </row>
    <row r="32" spans="1:27" s="2" customFormat="1" ht="54.95" customHeight="1">
      <c r="A32" s="3"/>
      <c r="B32" s="3"/>
      <c r="C32" s="125"/>
      <c r="D32" s="126"/>
      <c r="E32" s="126"/>
      <c r="F32" s="126"/>
      <c r="G32" s="126"/>
      <c r="H32" s="126"/>
      <c r="I32" s="126"/>
      <c r="J32" s="3"/>
      <c r="K32" s="3"/>
      <c r="L32" s="3"/>
      <c r="N32" s="29"/>
      <c r="O32" s="29"/>
      <c r="P32" s="29"/>
      <c r="Q32" s="29"/>
      <c r="R32" s="29"/>
      <c r="S32" s="29"/>
      <c r="T32" s="29"/>
      <c r="U32" s="29"/>
      <c r="V32" s="29"/>
      <c r="W32" s="29"/>
      <c r="X32" s="30"/>
      <c r="Y32" s="30"/>
      <c r="Z32" s="121"/>
    </row>
    <row r="33" spans="1:26" s="2" customFormat="1" ht="54.95" customHeight="1">
      <c r="A33" s="3"/>
      <c r="B33" s="3"/>
      <c r="C33" s="125"/>
      <c r="D33" s="126"/>
      <c r="E33" s="126"/>
      <c r="F33" s="126"/>
      <c r="G33" s="126"/>
      <c r="H33" s="126"/>
      <c r="I33" s="126"/>
      <c r="J33" s="3"/>
      <c r="K33" s="3"/>
      <c r="L33" s="3"/>
      <c r="N33" s="29"/>
      <c r="O33" s="29"/>
      <c r="P33" s="29"/>
      <c r="Q33" s="29"/>
      <c r="R33" s="29"/>
      <c r="S33" s="29"/>
      <c r="T33" s="29"/>
      <c r="U33" s="29"/>
      <c r="V33" s="29"/>
      <c r="W33" s="29"/>
      <c r="X33" s="30"/>
      <c r="Y33" s="30"/>
      <c r="Z33" s="121"/>
    </row>
    <row r="34" spans="1:26" s="2" customFormat="1" ht="54.95" customHeight="1">
      <c r="A34" s="3"/>
      <c r="B34" s="3"/>
      <c r="C34" s="125"/>
      <c r="D34" s="126"/>
      <c r="E34" s="126"/>
      <c r="F34" s="126"/>
      <c r="G34" s="126"/>
      <c r="H34" s="126"/>
      <c r="I34" s="126"/>
      <c r="J34" s="3"/>
      <c r="K34" s="3"/>
      <c r="L34" s="3"/>
      <c r="N34" s="29"/>
      <c r="O34" s="29"/>
      <c r="P34" s="29"/>
      <c r="Q34" s="29"/>
      <c r="R34" s="29"/>
      <c r="S34" s="29"/>
      <c r="T34" s="29"/>
      <c r="U34" s="29"/>
      <c r="V34" s="29"/>
      <c r="W34" s="29"/>
      <c r="X34" s="30"/>
      <c r="Y34" s="30"/>
      <c r="Z34" s="121"/>
    </row>
    <row r="35" spans="1:26" s="2" customFormat="1" ht="54.95" customHeight="1">
      <c r="A35" s="3"/>
      <c r="B35" s="3"/>
      <c r="C35" s="125"/>
      <c r="D35" s="126"/>
      <c r="E35" s="126"/>
      <c r="F35" s="126"/>
      <c r="G35" s="126"/>
      <c r="H35" s="126"/>
      <c r="I35" s="126"/>
      <c r="J35" s="3"/>
      <c r="K35" s="3"/>
      <c r="L35" s="3"/>
      <c r="N35" s="29"/>
      <c r="O35" s="29"/>
      <c r="P35" s="29"/>
      <c r="Q35" s="29"/>
      <c r="R35" s="29"/>
      <c r="S35" s="29"/>
      <c r="T35" s="29"/>
      <c r="U35" s="29"/>
      <c r="V35" s="29"/>
      <c r="W35" s="29"/>
      <c r="X35" s="30"/>
      <c r="Y35" s="30"/>
      <c r="Z35" s="121"/>
    </row>
    <row r="36" spans="1:26" s="2" customFormat="1" ht="54.95" customHeight="1">
      <c r="A36" s="3"/>
      <c r="B36" s="3"/>
      <c r="C36" s="125"/>
      <c r="D36" s="126"/>
      <c r="E36" s="126"/>
      <c r="F36" s="126"/>
      <c r="G36" s="126"/>
      <c r="H36" s="126"/>
      <c r="I36" s="126"/>
      <c r="J36" s="3"/>
      <c r="K36" s="3"/>
      <c r="L36" s="3"/>
      <c r="N36" s="29"/>
      <c r="O36" s="29"/>
      <c r="P36" s="29"/>
      <c r="Q36" s="29"/>
      <c r="R36" s="29"/>
      <c r="S36" s="29"/>
      <c r="T36" s="29"/>
      <c r="U36" s="29"/>
      <c r="V36" s="29"/>
      <c r="W36" s="29"/>
      <c r="X36" s="30"/>
      <c r="Y36" s="30"/>
      <c r="Z36" s="121"/>
    </row>
    <row r="37" spans="1:26" s="2" customFormat="1" ht="54.95" customHeight="1">
      <c r="A37" s="3"/>
      <c r="B37" s="3"/>
      <c r="C37" s="125"/>
      <c r="D37" s="126"/>
      <c r="E37" s="126"/>
      <c r="F37" s="126"/>
      <c r="G37" s="126"/>
      <c r="H37" s="126"/>
      <c r="I37" s="126"/>
      <c r="J37" s="3"/>
      <c r="K37" s="3"/>
      <c r="L37" s="3"/>
      <c r="N37" s="29"/>
      <c r="O37" s="29"/>
      <c r="P37" s="29"/>
      <c r="Q37" s="29"/>
      <c r="R37" s="29"/>
      <c r="S37" s="29"/>
      <c r="T37" s="29"/>
      <c r="U37" s="29"/>
      <c r="V37" s="29"/>
      <c r="W37" s="29"/>
      <c r="X37" s="30"/>
      <c r="Y37" s="30"/>
      <c r="Z37" s="121"/>
    </row>
    <row r="38" spans="1:26" s="2" customFormat="1" ht="54.95" customHeight="1">
      <c r="A38" s="3"/>
      <c r="B38" s="3"/>
      <c r="C38" s="125"/>
      <c r="D38" s="126"/>
      <c r="E38" s="126"/>
      <c r="F38" s="126"/>
      <c r="G38" s="126"/>
      <c r="H38" s="126"/>
      <c r="I38" s="126"/>
      <c r="J38" s="3"/>
      <c r="K38" s="3"/>
      <c r="L38" s="3"/>
      <c r="N38" s="29"/>
      <c r="O38" s="29"/>
      <c r="P38" s="29"/>
      <c r="Q38" s="29"/>
      <c r="R38" s="29"/>
      <c r="S38" s="29"/>
      <c r="T38" s="29"/>
      <c r="U38" s="29"/>
      <c r="V38" s="29"/>
      <c r="W38" s="29"/>
      <c r="X38" s="30"/>
      <c r="Y38" s="30"/>
      <c r="Z38" s="121"/>
    </row>
    <row r="39" spans="1:26" s="2" customFormat="1" ht="54.95" customHeight="1">
      <c r="A39" s="3"/>
      <c r="B39" s="3"/>
      <c r="C39" s="125"/>
      <c r="D39" s="126"/>
      <c r="E39" s="126"/>
      <c r="F39" s="126"/>
      <c r="G39" s="126"/>
      <c r="H39" s="126"/>
      <c r="I39" s="126"/>
      <c r="J39" s="3"/>
      <c r="K39" s="3"/>
      <c r="L39" s="3"/>
      <c r="N39" s="29"/>
      <c r="O39" s="29"/>
      <c r="P39" s="29"/>
      <c r="Q39" s="29"/>
      <c r="R39" s="29"/>
      <c r="S39" s="29"/>
      <c r="T39" s="29"/>
      <c r="U39" s="29"/>
      <c r="V39" s="29"/>
      <c r="W39" s="29"/>
      <c r="X39" s="30"/>
      <c r="Y39" s="30"/>
      <c r="Z39" s="121"/>
    </row>
    <row r="40" spans="1:26" s="2" customFormat="1" ht="54.95" customHeight="1">
      <c r="A40" s="3"/>
      <c r="B40" s="3"/>
      <c r="C40" s="125"/>
      <c r="D40" s="126"/>
      <c r="E40" s="126"/>
      <c r="F40" s="126"/>
      <c r="G40" s="126"/>
      <c r="H40" s="126"/>
      <c r="I40" s="126"/>
      <c r="J40" s="3"/>
      <c r="K40" s="3"/>
      <c r="L40" s="3"/>
      <c r="N40" s="29"/>
      <c r="O40" s="29"/>
      <c r="P40" s="29"/>
      <c r="Q40" s="29"/>
      <c r="R40" s="29"/>
      <c r="S40" s="29"/>
      <c r="T40" s="29"/>
      <c r="U40" s="29"/>
      <c r="V40" s="29"/>
      <c r="W40" s="29"/>
      <c r="X40" s="30"/>
      <c r="Y40" s="30"/>
      <c r="Z40" s="121"/>
    </row>
    <row r="41" spans="1:26" s="2" customFormat="1" ht="54.95" customHeight="1">
      <c r="A41" s="3"/>
      <c r="B41" s="3"/>
      <c r="C41" s="125"/>
      <c r="D41" s="126"/>
      <c r="E41" s="126"/>
      <c r="F41" s="126"/>
      <c r="G41" s="126"/>
      <c r="H41" s="126"/>
      <c r="I41" s="126"/>
      <c r="J41" s="3"/>
      <c r="K41" s="3"/>
      <c r="L41" s="3"/>
      <c r="N41" s="29"/>
      <c r="O41" s="29"/>
      <c r="P41" s="29"/>
      <c r="Q41" s="29"/>
      <c r="R41" s="29"/>
      <c r="S41" s="29"/>
      <c r="T41" s="29"/>
      <c r="U41" s="29"/>
      <c r="V41" s="29"/>
      <c r="W41" s="29"/>
      <c r="X41" s="30"/>
      <c r="Y41" s="30"/>
      <c r="Z41" s="121"/>
    </row>
    <row r="42" spans="1:26" ht="54.95" customHeight="1"/>
    <row r="43" spans="1:26" ht="54.95" customHeight="1"/>
    <row r="44" spans="1:26" ht="54.95" customHeight="1"/>
    <row r="45" spans="1:26" ht="54.95" customHeight="1"/>
    <row r="46" spans="1:26" ht="54.95" customHeight="1"/>
    <row r="47" spans="1:26" ht="54.95" customHeight="1"/>
    <row r="48" spans="1:26" ht="54.95" customHeight="1"/>
    <row r="49" ht="54.95" customHeight="1"/>
    <row r="50" ht="54.95" customHeight="1"/>
    <row r="51" ht="54.95" customHeight="1"/>
    <row r="52" ht="54.95" customHeight="1"/>
    <row r="53" ht="54.95" customHeight="1"/>
    <row r="54" ht="54.95" customHeight="1"/>
    <row r="55" ht="54.95" customHeight="1"/>
    <row r="56" ht="54.95" customHeight="1"/>
    <row r="57" ht="54.95" customHeight="1"/>
    <row r="58" ht="54.95" customHeight="1"/>
    <row r="59" ht="54.95" customHeight="1"/>
    <row r="60" ht="54.95" customHeight="1"/>
    <row r="61" ht="54.95" customHeight="1"/>
    <row r="62" ht="54.95" customHeight="1"/>
    <row r="63" ht="54.95" customHeight="1"/>
    <row r="64" ht="54.95" customHeight="1"/>
    <row r="65" ht="54.95" customHeight="1"/>
    <row r="66" ht="54.95" customHeight="1"/>
    <row r="67" ht="54.95" customHeight="1"/>
    <row r="68" ht="54.95" customHeight="1"/>
    <row r="69" ht="54.95" customHeight="1"/>
    <row r="70" ht="54.95" customHeight="1"/>
    <row r="71" ht="54.95" customHeight="1"/>
    <row r="72" ht="54.95" customHeight="1"/>
    <row r="73" ht="54.95" customHeight="1"/>
    <row r="74" ht="54.95" customHeight="1"/>
    <row r="75" ht="54.95" customHeight="1"/>
    <row r="76" ht="54.95" customHeight="1"/>
    <row r="77" ht="54.95" customHeight="1"/>
    <row r="78" ht="54.95" customHeight="1"/>
    <row r="79" ht="54.95" customHeight="1"/>
    <row r="80" ht="54.95" customHeight="1"/>
    <row r="81" ht="54.95" customHeight="1"/>
    <row r="82" ht="54.95" customHeight="1"/>
    <row r="83" ht="54.95" customHeight="1"/>
    <row r="84" ht="54.95" customHeight="1"/>
    <row r="85" ht="54.95" customHeight="1"/>
    <row r="86" ht="54.95" customHeight="1"/>
    <row r="87" ht="54.95" customHeight="1"/>
    <row r="88" ht="54.95" customHeight="1"/>
    <row r="89" ht="54.95" customHeight="1"/>
    <row r="90" ht="54.95" customHeight="1"/>
    <row r="91" ht="54.95" customHeight="1"/>
    <row r="92" ht="54.95" customHeight="1"/>
    <row r="93" ht="54.95" customHeight="1"/>
    <row r="94" ht="54.95" customHeight="1"/>
    <row r="95" ht="54.95" customHeight="1"/>
    <row r="96" ht="54.95" customHeight="1"/>
    <row r="97" ht="54.95" customHeight="1"/>
    <row r="98" ht="54.95" customHeight="1"/>
    <row r="99" ht="54.95" customHeight="1"/>
    <row r="100" ht="54.95" customHeight="1"/>
    <row r="101" ht="54.95" customHeight="1"/>
    <row r="102" ht="54.95" customHeight="1"/>
    <row r="103" ht="54.95" customHeight="1"/>
    <row r="104" ht="54.95" customHeight="1"/>
    <row r="105" ht="54.95" customHeight="1"/>
    <row r="106" ht="54.95" customHeight="1"/>
    <row r="107" ht="54.95" customHeight="1"/>
    <row r="108" ht="54.95" customHeight="1"/>
    <row r="109" ht="54.95" customHeight="1"/>
    <row r="110" ht="54.95" customHeight="1"/>
    <row r="111" ht="54.95" customHeight="1"/>
    <row r="112" ht="54.95" customHeight="1"/>
    <row r="113" ht="54.95" customHeight="1"/>
    <row r="114" ht="54.95" customHeight="1"/>
    <row r="115" ht="54.95" customHeight="1"/>
    <row r="116" ht="54.95" customHeight="1"/>
    <row r="117" ht="54.95" customHeight="1"/>
    <row r="118" ht="54.95" customHeight="1"/>
    <row r="119" ht="54.95" customHeight="1"/>
    <row r="120" ht="54.95" customHeight="1"/>
    <row r="121" ht="54.95" customHeight="1"/>
    <row r="122" ht="54.95" customHeight="1"/>
    <row r="123" ht="54.95" customHeight="1"/>
    <row r="124" ht="54.95" customHeight="1"/>
    <row r="125" ht="54.95" customHeight="1"/>
    <row r="126" ht="54.95" customHeight="1"/>
    <row r="127" ht="54.95" customHeight="1"/>
    <row r="128" ht="54.95" customHeight="1"/>
    <row r="129" ht="54.95" customHeight="1"/>
    <row r="130" ht="54.95" customHeight="1"/>
    <row r="131" ht="54.95" customHeight="1"/>
    <row r="132" ht="54.95" customHeight="1"/>
    <row r="133" ht="54.95" customHeight="1"/>
    <row r="134" ht="54.95" customHeight="1"/>
    <row r="135" ht="54.95" customHeight="1"/>
    <row r="136" ht="54.95" customHeight="1"/>
    <row r="137" ht="54.95" customHeight="1"/>
    <row r="138" ht="54.95" customHeight="1"/>
    <row r="139" ht="54.95" customHeight="1"/>
    <row r="140" ht="54.95" customHeight="1"/>
    <row r="141" ht="54.95" customHeight="1"/>
    <row r="142" ht="54.95" customHeight="1"/>
    <row r="143" ht="54.95" customHeight="1"/>
    <row r="144" ht="54.95" customHeight="1"/>
    <row r="145" ht="54.95" customHeight="1"/>
    <row r="146" ht="54.95" customHeight="1"/>
    <row r="147" ht="54.95" customHeight="1"/>
    <row r="148" ht="54.95" customHeight="1"/>
    <row r="149" ht="54.95" customHeight="1"/>
    <row r="150" ht="54.95" customHeight="1"/>
    <row r="151" ht="54.95" customHeight="1"/>
    <row r="152" ht="54.95" customHeight="1"/>
    <row r="153" ht="54.95" customHeight="1"/>
    <row r="154" ht="54.95" customHeight="1"/>
    <row r="155" ht="54.95" customHeight="1"/>
    <row r="156" ht="54.95" customHeight="1"/>
    <row r="157" ht="54.95" customHeight="1"/>
    <row r="158" ht="54.95" customHeight="1"/>
    <row r="159" ht="54.95" customHeight="1"/>
    <row r="160" ht="54.95" customHeight="1"/>
    <row r="161" ht="54.95" customHeight="1"/>
    <row r="162" ht="54.95" customHeight="1"/>
    <row r="163" ht="54.95" customHeight="1"/>
    <row r="164" ht="54.95" customHeight="1"/>
    <row r="165" ht="54.95" customHeight="1"/>
    <row r="166" ht="54.95" customHeight="1"/>
    <row r="167" ht="54.95" customHeight="1"/>
    <row r="168" ht="54.95" customHeight="1"/>
    <row r="169" ht="54.95" customHeight="1"/>
    <row r="170" ht="54.95" customHeight="1"/>
    <row r="171" ht="54.95" customHeight="1"/>
    <row r="172" ht="54.95" customHeight="1"/>
    <row r="173" ht="54.95" customHeight="1"/>
    <row r="174" ht="54.95" customHeight="1"/>
    <row r="175" ht="54.95" customHeight="1"/>
    <row r="176" ht="54.95" customHeight="1"/>
    <row r="177" spans="1:26" ht="54.95" customHeight="1"/>
    <row r="178" spans="1:26" ht="54.95" customHeight="1"/>
    <row r="179" spans="1:26" ht="54.95" customHeight="1"/>
    <row r="180" spans="1:26" ht="54.95" customHeight="1"/>
    <row r="181" spans="1:26" ht="54.95" customHeight="1"/>
    <row r="182" spans="1:26" ht="54.95" customHeight="1"/>
    <row r="183" spans="1:26" ht="54.95" customHeight="1"/>
    <row r="184" spans="1:26" ht="54.95" customHeight="1"/>
    <row r="185" spans="1:26" ht="54.95" customHeight="1"/>
    <row r="186" spans="1:26" s="2" customFormat="1" ht="54.95" customHeight="1">
      <c r="A186" s="3"/>
      <c r="B186" s="3"/>
      <c r="C186" s="125"/>
      <c r="D186" s="126"/>
      <c r="E186" s="126"/>
      <c r="F186" s="126"/>
      <c r="G186" s="126"/>
      <c r="H186" s="126"/>
      <c r="I186" s="126"/>
      <c r="J186" s="3"/>
      <c r="K186" s="3"/>
      <c r="L186" s="3"/>
      <c r="N186" s="29"/>
      <c r="O186" s="29"/>
      <c r="P186" s="29"/>
      <c r="Q186" s="29"/>
      <c r="R186" s="29"/>
      <c r="S186" s="29"/>
      <c r="T186" s="29"/>
      <c r="U186" s="29"/>
      <c r="V186" s="29"/>
      <c r="W186" s="29"/>
      <c r="X186" s="30"/>
      <c r="Y186" s="30"/>
      <c r="Z186" s="121"/>
    </row>
    <row r="187" spans="1:26" s="2" customFormat="1" ht="54.95" customHeight="1">
      <c r="A187" s="3"/>
      <c r="B187" s="3"/>
      <c r="C187" s="125"/>
      <c r="D187" s="126"/>
      <c r="E187" s="126"/>
      <c r="F187" s="126"/>
      <c r="G187" s="126"/>
      <c r="H187" s="126"/>
      <c r="I187" s="126"/>
      <c r="J187" s="3"/>
      <c r="K187" s="3"/>
      <c r="L187" s="3"/>
      <c r="N187" s="29"/>
      <c r="O187" s="29"/>
      <c r="P187" s="29"/>
      <c r="Q187" s="29"/>
      <c r="R187" s="29"/>
      <c r="S187" s="29"/>
      <c r="T187" s="29"/>
      <c r="U187" s="29"/>
      <c r="V187" s="29"/>
      <c r="W187" s="29"/>
      <c r="X187" s="30"/>
      <c r="Y187" s="30"/>
      <c r="Z187" s="121"/>
    </row>
    <row r="188" spans="1:26" s="2" customFormat="1" ht="54.95" customHeight="1">
      <c r="A188" s="3"/>
      <c r="B188" s="3"/>
      <c r="C188" s="125"/>
      <c r="D188" s="126"/>
      <c r="E188" s="126"/>
      <c r="F188" s="126"/>
      <c r="G188" s="126"/>
      <c r="H188" s="126"/>
      <c r="I188" s="126"/>
      <c r="J188" s="3"/>
      <c r="K188" s="3"/>
      <c r="L188" s="3"/>
      <c r="N188" s="29"/>
      <c r="O188" s="29"/>
      <c r="P188" s="29"/>
      <c r="Q188" s="29"/>
      <c r="R188" s="29"/>
      <c r="S188" s="29"/>
      <c r="T188" s="29"/>
      <c r="U188" s="29"/>
      <c r="V188" s="29"/>
      <c r="W188" s="29"/>
      <c r="X188" s="30"/>
      <c r="Y188" s="30"/>
      <c r="Z188" s="121"/>
    </row>
    <row r="189" spans="1:26" s="2" customFormat="1" ht="54.95" customHeight="1">
      <c r="A189" s="3"/>
      <c r="B189" s="3"/>
      <c r="C189" s="125"/>
      <c r="D189" s="126"/>
      <c r="E189" s="126"/>
      <c r="F189" s="126"/>
      <c r="G189" s="126"/>
      <c r="H189" s="126"/>
      <c r="I189" s="126"/>
      <c r="J189" s="3"/>
      <c r="K189" s="3"/>
      <c r="L189" s="3"/>
      <c r="N189" s="29"/>
      <c r="O189" s="29"/>
      <c r="P189" s="29"/>
      <c r="Q189" s="29"/>
      <c r="R189" s="29"/>
      <c r="S189" s="29"/>
      <c r="T189" s="29"/>
      <c r="U189" s="29"/>
      <c r="V189" s="29"/>
      <c r="W189" s="29"/>
      <c r="X189" s="30"/>
      <c r="Y189" s="30"/>
      <c r="Z189" s="121"/>
    </row>
    <row r="190" spans="1:26" s="2" customFormat="1" ht="54.95" customHeight="1">
      <c r="A190" s="3"/>
      <c r="B190" s="3"/>
      <c r="C190" s="125"/>
      <c r="D190" s="126"/>
      <c r="E190" s="126"/>
      <c r="F190" s="126"/>
      <c r="G190" s="126"/>
      <c r="H190" s="126"/>
      <c r="I190" s="126"/>
      <c r="J190" s="3"/>
      <c r="K190" s="3"/>
      <c r="L190" s="3"/>
      <c r="N190" s="29"/>
      <c r="O190" s="29"/>
      <c r="P190" s="29"/>
      <c r="Q190" s="29"/>
      <c r="R190" s="29"/>
      <c r="S190" s="29"/>
      <c r="T190" s="29"/>
      <c r="U190" s="29"/>
      <c r="V190" s="29"/>
      <c r="W190" s="29"/>
      <c r="X190" s="30"/>
      <c r="Y190" s="30"/>
      <c r="Z190" s="121"/>
    </row>
    <row r="191" spans="1:26" s="2" customFormat="1" ht="54.95" customHeight="1">
      <c r="A191" s="3"/>
      <c r="B191" s="3"/>
      <c r="C191" s="125"/>
      <c r="D191" s="126"/>
      <c r="E191" s="126"/>
      <c r="F191" s="126"/>
      <c r="G191" s="126"/>
      <c r="H191" s="126"/>
      <c r="I191" s="126"/>
      <c r="J191" s="3"/>
      <c r="K191" s="3"/>
      <c r="L191" s="3"/>
      <c r="N191" s="29"/>
      <c r="O191" s="29"/>
      <c r="P191" s="29"/>
      <c r="Q191" s="29"/>
      <c r="R191" s="29"/>
      <c r="S191" s="29"/>
      <c r="T191" s="29"/>
      <c r="U191" s="29"/>
      <c r="V191" s="29"/>
      <c r="W191" s="29"/>
      <c r="X191" s="30"/>
      <c r="Y191" s="30"/>
      <c r="Z191" s="121"/>
    </row>
    <row r="192" spans="1:26" s="2" customFormat="1" ht="54.95" customHeight="1">
      <c r="A192" s="3"/>
      <c r="B192" s="3"/>
      <c r="C192" s="125"/>
      <c r="D192" s="126"/>
      <c r="E192" s="126"/>
      <c r="F192" s="126"/>
      <c r="G192" s="126"/>
      <c r="H192" s="126"/>
      <c r="I192" s="126"/>
      <c r="J192" s="3"/>
      <c r="K192" s="3"/>
      <c r="L192" s="3"/>
      <c r="N192" s="29"/>
      <c r="O192" s="29"/>
      <c r="P192" s="29"/>
      <c r="Q192" s="29"/>
      <c r="R192" s="29"/>
      <c r="S192" s="29"/>
      <c r="T192" s="29"/>
      <c r="U192" s="29"/>
      <c r="V192" s="29"/>
      <c r="W192" s="29"/>
      <c r="X192" s="30"/>
      <c r="Y192" s="30"/>
      <c r="Z192" s="121"/>
    </row>
    <row r="193" spans="1:26" s="15" customFormat="1" ht="54.95" hidden="1" customHeight="1">
      <c r="B193" s="15" t="str">
        <f>A19</f>
        <v>كميت سنجه عملكرد همسان شده :</v>
      </c>
      <c r="C193" s="128" t="s">
        <v>161</v>
      </c>
      <c r="D193" s="129"/>
      <c r="E193" s="129"/>
      <c r="F193" s="129"/>
      <c r="G193" s="129"/>
      <c r="H193" s="129"/>
      <c r="I193" s="129"/>
      <c r="N193" s="29"/>
      <c r="O193" s="29"/>
      <c r="P193" s="29"/>
      <c r="Q193" s="29"/>
      <c r="R193" s="29"/>
      <c r="S193" s="29"/>
      <c r="T193" s="29"/>
      <c r="U193" s="29"/>
      <c r="V193" s="29"/>
      <c r="W193" s="29"/>
      <c r="X193" s="30"/>
      <c r="Y193" s="30"/>
      <c r="Z193" s="30"/>
    </row>
    <row r="194" spans="1:26" s="15" customFormat="1" ht="54.95" hidden="1" customHeight="1">
      <c r="C194" s="128" t="s">
        <v>355</v>
      </c>
      <c r="D194" s="129"/>
      <c r="E194" s="129"/>
      <c r="F194" s="129"/>
      <c r="G194" s="129"/>
      <c r="H194" s="129"/>
      <c r="I194" s="129"/>
      <c r="N194" s="29"/>
      <c r="O194" s="29"/>
      <c r="P194" s="29"/>
      <c r="Q194" s="29"/>
      <c r="R194" s="29"/>
      <c r="S194" s="29"/>
      <c r="T194" s="29"/>
      <c r="U194" s="29"/>
      <c r="V194" s="29"/>
      <c r="W194" s="29"/>
      <c r="X194" s="30"/>
      <c r="Y194" s="30"/>
      <c r="Z194" s="30"/>
    </row>
    <row r="195" spans="1:26" s="2" customFormat="1" ht="54.95" customHeight="1">
      <c r="A195" s="3"/>
      <c r="B195" s="3"/>
      <c r="C195" s="125"/>
      <c r="D195" s="126"/>
      <c r="E195" s="126"/>
      <c r="F195" s="126"/>
      <c r="G195" s="126"/>
      <c r="H195" s="126"/>
      <c r="I195" s="126"/>
      <c r="J195" s="3"/>
      <c r="K195" s="3"/>
      <c r="L195" s="3"/>
      <c r="N195" s="29"/>
      <c r="O195" s="29"/>
      <c r="P195" s="29"/>
      <c r="Q195" s="29"/>
      <c r="R195" s="29"/>
      <c r="S195" s="29"/>
      <c r="T195" s="29"/>
      <c r="U195" s="29"/>
      <c r="V195" s="29"/>
      <c r="W195" s="29"/>
      <c r="X195" s="30"/>
      <c r="Y195" s="30"/>
      <c r="Z195" s="121"/>
    </row>
    <row r="196" spans="1:26" s="2" customFormat="1" ht="54.95" customHeight="1">
      <c r="A196" s="3"/>
      <c r="B196" s="3"/>
      <c r="C196" s="125"/>
      <c r="D196" s="126"/>
      <c r="E196" s="126"/>
      <c r="F196" s="126"/>
      <c r="G196" s="126"/>
      <c r="H196" s="126"/>
      <c r="I196" s="126"/>
      <c r="J196" s="3"/>
      <c r="K196" s="3"/>
      <c r="L196" s="3"/>
      <c r="N196" s="29"/>
      <c r="O196" s="29"/>
      <c r="P196" s="29"/>
      <c r="Q196" s="29"/>
      <c r="R196" s="29"/>
      <c r="S196" s="29"/>
      <c r="T196" s="29"/>
      <c r="U196" s="29"/>
      <c r="V196" s="29"/>
      <c r="W196" s="29"/>
      <c r="X196" s="30"/>
      <c r="Y196" s="30"/>
      <c r="Z196" s="121"/>
    </row>
    <row r="197" spans="1:26" s="2" customFormat="1" ht="54.95" customHeight="1">
      <c r="A197" s="3"/>
      <c r="B197" s="3"/>
      <c r="C197" s="125"/>
      <c r="D197" s="126"/>
      <c r="E197" s="126"/>
      <c r="F197" s="126"/>
      <c r="G197" s="126"/>
      <c r="H197" s="126"/>
      <c r="I197" s="126"/>
      <c r="J197" s="3"/>
      <c r="K197" s="3"/>
      <c r="L197" s="3"/>
      <c r="N197" s="29"/>
      <c r="O197" s="29"/>
      <c r="P197" s="29"/>
      <c r="Q197" s="29"/>
      <c r="R197" s="29"/>
      <c r="S197" s="29"/>
      <c r="T197" s="29"/>
      <c r="U197" s="29"/>
      <c r="V197" s="29"/>
      <c r="W197" s="29"/>
      <c r="X197" s="30"/>
      <c r="Y197" s="30"/>
      <c r="Z197" s="121"/>
    </row>
    <row r="198" spans="1:26" s="2" customFormat="1" ht="54.95" customHeight="1">
      <c r="A198" s="3"/>
      <c r="B198" s="3"/>
      <c r="C198" s="125"/>
      <c r="D198" s="126"/>
      <c r="E198" s="126"/>
      <c r="F198" s="126"/>
      <c r="G198" s="126"/>
      <c r="H198" s="126"/>
      <c r="I198" s="126"/>
      <c r="J198" s="3"/>
      <c r="K198" s="3"/>
      <c r="L198" s="3"/>
      <c r="N198" s="29"/>
      <c r="O198" s="29"/>
      <c r="P198" s="29"/>
      <c r="Q198" s="29"/>
      <c r="R198" s="29"/>
      <c r="S198" s="29"/>
      <c r="T198" s="29"/>
      <c r="U198" s="29"/>
      <c r="V198" s="29"/>
      <c r="W198" s="29"/>
      <c r="X198" s="30"/>
      <c r="Y198" s="30"/>
      <c r="Z198" s="121"/>
    </row>
    <row r="199" spans="1:26" s="2" customFormat="1" ht="54.95" customHeight="1">
      <c r="A199" s="3"/>
      <c r="B199" s="3"/>
      <c r="C199" s="125"/>
      <c r="D199" s="126"/>
      <c r="E199" s="126"/>
      <c r="F199" s="126"/>
      <c r="G199" s="126"/>
      <c r="H199" s="126"/>
      <c r="I199" s="126"/>
      <c r="J199" s="3"/>
      <c r="K199" s="3"/>
      <c r="L199" s="3"/>
      <c r="N199" s="29"/>
      <c r="O199" s="29"/>
      <c r="P199" s="29"/>
      <c r="Q199" s="29"/>
      <c r="R199" s="29"/>
      <c r="S199" s="29"/>
      <c r="T199" s="29"/>
      <c r="U199" s="29"/>
      <c r="V199" s="29"/>
      <c r="W199" s="29"/>
      <c r="X199" s="30"/>
      <c r="Y199" s="30"/>
      <c r="Z199" s="121"/>
    </row>
    <row r="200" spans="1:26" s="2" customFormat="1" ht="54.95" customHeight="1">
      <c r="A200" s="3"/>
      <c r="B200" s="3"/>
      <c r="C200" s="125"/>
      <c r="D200" s="126"/>
      <c r="E200" s="126"/>
      <c r="F200" s="126"/>
      <c r="G200" s="126"/>
      <c r="H200" s="126"/>
      <c r="I200" s="126"/>
      <c r="J200" s="3"/>
      <c r="K200" s="3"/>
      <c r="L200" s="3"/>
      <c r="N200" s="29"/>
      <c r="O200" s="29"/>
      <c r="P200" s="29"/>
      <c r="Q200" s="29"/>
      <c r="R200" s="29"/>
      <c r="S200" s="29"/>
      <c r="T200" s="29"/>
      <c r="U200" s="29"/>
      <c r="V200" s="29"/>
      <c r="W200" s="29"/>
      <c r="X200" s="30"/>
      <c r="Y200" s="30"/>
      <c r="Z200" s="121"/>
    </row>
    <row r="201" spans="1:26" s="2" customFormat="1" ht="54.95" customHeight="1">
      <c r="A201" s="3"/>
      <c r="B201" s="3"/>
      <c r="C201" s="125"/>
      <c r="D201" s="126"/>
      <c r="E201" s="126"/>
      <c r="F201" s="126"/>
      <c r="G201" s="126"/>
      <c r="H201" s="126"/>
      <c r="I201" s="126"/>
      <c r="J201" s="3"/>
      <c r="K201" s="3"/>
      <c r="L201" s="3"/>
      <c r="N201" s="29"/>
      <c r="O201" s="29"/>
      <c r="P201" s="29"/>
      <c r="Q201" s="29"/>
      <c r="R201" s="29"/>
      <c r="S201" s="29"/>
      <c r="T201" s="29"/>
      <c r="U201" s="29"/>
      <c r="V201" s="29"/>
      <c r="W201" s="29"/>
      <c r="X201" s="30"/>
      <c r="Y201" s="30"/>
      <c r="Z201" s="121"/>
    </row>
    <row r="202" spans="1:26" ht="54.95" customHeight="1"/>
    <row r="203" spans="1:26" ht="54.95" customHeight="1"/>
    <row r="204" spans="1:26" ht="54.95" customHeight="1"/>
    <row r="205" spans="1:26" ht="54.95" customHeight="1"/>
    <row r="206" spans="1:26" ht="54.95" customHeight="1"/>
    <row r="207" spans="1:26" ht="54.95" customHeight="1"/>
    <row r="208" spans="1:26" ht="54.95" customHeight="1"/>
    <row r="209" ht="54.95" customHeight="1"/>
    <row r="210" ht="54.95" customHeight="1"/>
    <row r="211" ht="54.95" customHeight="1"/>
    <row r="212" ht="54.95" customHeight="1"/>
    <row r="213" ht="54.95" customHeight="1"/>
    <row r="214" ht="54.95" customHeight="1"/>
    <row r="215" ht="54.95" customHeight="1"/>
    <row r="216" ht="54.95" customHeight="1"/>
    <row r="217" ht="54.95" customHeight="1"/>
    <row r="218" ht="54.95" customHeight="1"/>
    <row r="219" ht="54.95" customHeight="1"/>
    <row r="220" ht="54.95" customHeight="1"/>
    <row r="221" ht="54.95" customHeight="1"/>
    <row r="222" ht="54.95" customHeight="1"/>
    <row r="223" ht="54.95" customHeight="1"/>
    <row r="224" ht="54.95" customHeight="1"/>
    <row r="225" ht="54.95" customHeight="1"/>
    <row r="226" ht="54.95" customHeight="1"/>
    <row r="227" ht="54.95" customHeight="1"/>
    <row r="228" ht="54.95" customHeight="1"/>
    <row r="229" ht="54.95" customHeight="1"/>
    <row r="230" ht="54.95" customHeight="1"/>
    <row r="231" ht="54.95" customHeight="1"/>
    <row r="232" ht="54.95" customHeight="1"/>
    <row r="233" ht="54.95" customHeight="1"/>
    <row r="234" ht="54.95" customHeight="1"/>
    <row r="235" ht="54.95" customHeight="1"/>
    <row r="236" ht="54.95" customHeight="1"/>
    <row r="237" ht="54.95" customHeight="1"/>
    <row r="238" ht="54.95" customHeight="1"/>
    <row r="239" ht="54.95" customHeight="1"/>
    <row r="240" ht="54.95" customHeight="1"/>
    <row r="241" ht="54.95" customHeight="1"/>
    <row r="242" ht="54.95" customHeight="1"/>
    <row r="243" ht="54.95" customHeight="1"/>
    <row r="244" ht="54.95" customHeight="1"/>
    <row r="245" ht="54.95" customHeight="1"/>
    <row r="246" ht="54.95" customHeight="1"/>
    <row r="247" ht="54.95" customHeight="1"/>
    <row r="248" ht="54.95" customHeight="1"/>
    <row r="249" ht="54.95" customHeight="1"/>
    <row r="250" ht="54.95" customHeight="1"/>
    <row r="251" ht="54.95" customHeight="1"/>
    <row r="252" ht="54.95" customHeight="1"/>
    <row r="253" ht="54.95" customHeight="1"/>
  </sheetData>
  <mergeCells count="13">
    <mergeCell ref="A19:B19"/>
    <mergeCell ref="C19:K19"/>
    <mergeCell ref="A20:L20"/>
    <mergeCell ref="A1:M1"/>
    <mergeCell ref="B2:B3"/>
    <mergeCell ref="C2:C3"/>
    <mergeCell ref="D2:G2"/>
    <mergeCell ref="H2:H3"/>
    <mergeCell ref="I2:I3"/>
    <mergeCell ref="J2:J3"/>
    <mergeCell ref="K2:K3"/>
    <mergeCell ref="L2:L3"/>
    <mergeCell ref="M2:M3"/>
  </mergeCells>
  <pageMargins left="0.7" right="0.7" top="0.75" bottom="0.75" header="0.3" footer="0.3"/>
  <pageSetup paperSize="9" scale="62" orientation="portrait" r:id="rId1"/>
  <drawing r:id="rId2"/>
  <legacyDrawing r:id="rId3"/>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6"/>
  <sheetViews>
    <sheetView showGridLines="0" rightToLeft="1" workbookViewId="0">
      <pane xSplit="11" topLeftCell="L1" activePane="topRight" state="frozen"/>
      <selection pane="topRight" activeCell="M2" sqref="M2"/>
    </sheetView>
  </sheetViews>
  <sheetFormatPr defaultRowHeight="18"/>
  <cols>
    <col min="1" max="1" width="15.5" customWidth="1"/>
    <col min="2" max="2" width="11.5" customWidth="1"/>
    <col min="3" max="3" width="50.6640625" customWidth="1"/>
    <col min="4" max="4" width="21.6640625" customWidth="1"/>
    <col min="5" max="10" width="9.83203125" customWidth="1"/>
    <col min="11" max="11" width="16.83203125" customWidth="1"/>
    <col min="12" max="12" width="12.1640625" customWidth="1"/>
  </cols>
  <sheetData>
    <row r="1" spans="1:11" ht="62.25" customHeight="1">
      <c r="A1" s="435" t="s">
        <v>725</v>
      </c>
      <c r="B1" s="436"/>
      <c r="C1" s="436"/>
      <c r="D1" s="436"/>
      <c r="E1" s="436"/>
      <c r="F1" s="436"/>
      <c r="G1" s="436"/>
      <c r="H1" s="436"/>
      <c r="I1" s="436"/>
      <c r="J1" s="436"/>
      <c r="K1" s="437"/>
    </row>
    <row r="2" spans="1:11" ht="86.25" customHeight="1">
      <c r="A2" s="438"/>
      <c r="B2" s="217" t="s">
        <v>0</v>
      </c>
      <c r="C2" s="218" t="s">
        <v>709</v>
      </c>
      <c r="D2" s="219" t="s">
        <v>632</v>
      </c>
      <c r="E2" s="219">
        <v>1396</v>
      </c>
      <c r="F2" s="219">
        <v>1397</v>
      </c>
      <c r="G2" s="219">
        <v>1398</v>
      </c>
      <c r="H2" s="219">
        <v>1399</v>
      </c>
      <c r="I2" s="219">
        <v>1400</v>
      </c>
      <c r="J2" s="219">
        <v>1401</v>
      </c>
      <c r="K2" s="439"/>
    </row>
    <row r="3" spans="1:11" ht="80.099999999999994" customHeight="1">
      <c r="A3" s="438"/>
      <c r="B3" s="282" t="s">
        <v>629</v>
      </c>
      <c r="C3" s="281" t="s">
        <v>705</v>
      </c>
      <c r="D3" s="220" t="s">
        <v>710</v>
      </c>
      <c r="E3" s="221"/>
      <c r="F3" s="221"/>
      <c r="G3" s="221"/>
      <c r="H3" s="221"/>
      <c r="I3" s="221"/>
      <c r="J3" s="221"/>
      <c r="K3" s="439"/>
    </row>
    <row r="4" spans="1:11" ht="80.099999999999994" customHeight="1">
      <c r="A4" s="438"/>
      <c r="B4" s="282" t="s">
        <v>630</v>
      </c>
      <c r="C4" s="281" t="s">
        <v>706</v>
      </c>
      <c r="D4" s="220" t="s">
        <v>710</v>
      </c>
      <c r="E4" s="221"/>
      <c r="F4" s="221"/>
      <c r="G4" s="221"/>
      <c r="H4" s="221"/>
      <c r="I4" s="221"/>
      <c r="J4" s="221"/>
      <c r="K4" s="439"/>
    </row>
    <row r="5" spans="1:11" ht="80.099999999999994" customHeight="1">
      <c r="A5" s="438"/>
      <c r="B5" s="282" t="s">
        <v>631</v>
      </c>
      <c r="C5" s="281" t="s">
        <v>707</v>
      </c>
      <c r="D5" s="220" t="s">
        <v>710</v>
      </c>
      <c r="E5" s="221"/>
      <c r="F5" s="221"/>
      <c r="G5" s="221"/>
      <c r="H5" s="221"/>
      <c r="I5" s="221"/>
      <c r="J5" s="221"/>
      <c r="K5" s="439"/>
    </row>
    <row r="6" spans="1:11" ht="80.099999999999994" customHeight="1">
      <c r="A6" s="438"/>
      <c r="B6" s="282" t="s">
        <v>642</v>
      </c>
      <c r="C6" s="281" t="s">
        <v>708</v>
      </c>
      <c r="D6" s="220" t="s">
        <v>710</v>
      </c>
      <c r="E6" s="221"/>
      <c r="F6" s="221"/>
      <c r="G6" s="221"/>
      <c r="H6" s="221"/>
      <c r="I6" s="221"/>
      <c r="J6" s="221"/>
      <c r="K6" s="439"/>
    </row>
    <row r="7" spans="1:11" ht="80.099999999999994" customHeight="1">
      <c r="A7" s="397"/>
      <c r="B7" s="398"/>
      <c r="C7" s="398"/>
      <c r="D7" s="398"/>
      <c r="E7" s="398"/>
      <c r="F7" s="398"/>
      <c r="G7" s="398"/>
      <c r="H7" s="398"/>
      <c r="I7" s="398"/>
      <c r="J7" s="398"/>
      <c r="K7" s="399"/>
    </row>
    <row r="8" spans="1:11" ht="45" customHeight="1"/>
    <row r="9" spans="1:11" ht="45" customHeight="1"/>
    <row r="10" spans="1:11" ht="45" customHeight="1"/>
    <row r="11" spans="1:11" ht="45" customHeight="1"/>
    <row r="12" spans="1:11" ht="45" customHeight="1"/>
    <row r="13" spans="1:11" ht="45" customHeight="1"/>
    <row r="14" spans="1:11" ht="45" customHeight="1"/>
    <row r="15" spans="1:11" ht="45" customHeight="1"/>
    <row r="16" spans="1:11"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sheetData>
  <mergeCells count="4">
    <mergeCell ref="A1:K1"/>
    <mergeCell ref="A2:A6"/>
    <mergeCell ref="K2:K6"/>
    <mergeCell ref="A7:K7"/>
  </mergeCells>
  <pageMargins left="0.7" right="0.7" top="0.75" bottom="0.75" header="0.3" footer="0.3"/>
  <pageSetup paperSize="9" orientation="portrait" r:id="rId1"/>
  <ignoredErrors>
    <ignoredError sqref="B3 B4:B6" numberStoredAsText="1"/>
  </ignoredErrors>
  <drawing r:id="rId2"/>
  <legacyDrawing r:id="rId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rightToLeft="1" workbookViewId="0">
      <selection sqref="A1:C1"/>
    </sheetView>
  </sheetViews>
  <sheetFormatPr defaultRowHeight="27"/>
  <cols>
    <col min="1" max="1" width="18.33203125" style="60" customWidth="1"/>
    <col min="2" max="2" width="126.6640625" style="60" customWidth="1"/>
    <col min="3" max="3" width="18.33203125" style="60" customWidth="1"/>
    <col min="4" max="16384" width="9.33203125" style="60"/>
  </cols>
  <sheetData>
    <row r="1" spans="1:3" ht="63.75" customHeight="1">
      <c r="A1" s="387" t="s">
        <v>618</v>
      </c>
      <c r="B1" s="387"/>
      <c r="C1" s="387"/>
    </row>
    <row r="2" spans="1:3" s="62" customFormat="1" ht="42" customHeight="1">
      <c r="A2" s="388"/>
      <c r="B2" s="61" t="str">
        <f>'[32]سیاست ها و برنامه ها '!A1</f>
        <v xml:space="preserve"> اهداف کلی 3:  ارتقاء كيفيت و بهداشت واحدهای تولیدی، توزیعی، عرضه و خدمات مرتبط با دامپزشکی</v>
      </c>
      <c r="C2" s="389"/>
    </row>
    <row r="3" spans="1:3" s="62" customFormat="1" ht="42" customHeight="1">
      <c r="A3" s="388"/>
      <c r="B3" s="63" t="str">
        <f>'[32]سیاست ها و برنامه ها '!A2</f>
        <v xml:space="preserve"> راهبرد 12-3: توسعه رقابت پذیری تولیدات برای صادرات</v>
      </c>
      <c r="C3" s="389"/>
    </row>
    <row r="4" spans="1:3" s="62" customFormat="1" ht="42" customHeight="1">
      <c r="A4" s="388"/>
      <c r="B4" s="64" t="str">
        <f>CONCATENATE([32]روکش!A1,"",[32]روکش!B1)</f>
        <v xml:space="preserve"> عنوان هدف کمی: افزايش صدور کد IR و EC و ...</v>
      </c>
      <c r="C4" s="389"/>
    </row>
    <row r="5" spans="1:3" s="62" customFormat="1" ht="42" customHeight="1">
      <c r="A5" s="388"/>
      <c r="B5" s="64" t="str">
        <f>CONCATENATE([32]روکش!A2,"  ",[32]روکش!B2,"                         ",[32]روکش!C2,"   ",[32]روکش!D2)</f>
        <v>عنوان سنجه عملکرد:  صدور کد                         شاخص سنجه:   40</v>
      </c>
      <c r="C5" s="389"/>
    </row>
    <row r="6" spans="1:3" s="62" customFormat="1" ht="42" customHeight="1">
      <c r="A6" s="388"/>
      <c r="B6" s="64" t="s">
        <v>559</v>
      </c>
      <c r="C6" s="389"/>
    </row>
    <row r="7" spans="1:3" s="62" customFormat="1" ht="42" customHeight="1">
      <c r="A7" s="388"/>
      <c r="B7" s="64" t="s">
        <v>603</v>
      </c>
      <c r="C7" s="389"/>
    </row>
    <row r="8" spans="1:3" ht="42" customHeight="1">
      <c r="A8" s="388"/>
      <c r="B8" s="65" t="s">
        <v>604</v>
      </c>
      <c r="C8" s="389"/>
    </row>
    <row r="9" spans="1:3" s="66" customFormat="1" ht="42" customHeight="1">
      <c r="A9" s="388"/>
      <c r="B9" s="63" t="s">
        <v>445</v>
      </c>
      <c r="C9" s="389"/>
    </row>
    <row r="10" spans="1:3" s="68" customFormat="1" ht="42" customHeight="1">
      <c r="A10" s="388"/>
      <c r="B10" s="144" t="s">
        <v>605</v>
      </c>
      <c r="C10" s="389"/>
    </row>
    <row r="11" spans="1:3" ht="69.75" customHeight="1">
      <c r="A11" s="390"/>
      <c r="B11" s="390"/>
      <c r="C11" s="390"/>
    </row>
    <row r="12" spans="1:3" ht="22.5" customHeight="1"/>
    <row r="13" spans="1:3" ht="22.5" customHeight="1"/>
  </sheetData>
  <dataConsolidate/>
  <mergeCells count="4">
    <mergeCell ref="A1:C1"/>
    <mergeCell ref="A2:A10"/>
    <mergeCell ref="C2:C10"/>
    <mergeCell ref="A11:C11"/>
  </mergeCells>
  <pageMargins left="0.7" right="0.7" top="0.75" bottom="0.75" header="0.3" footer="0.3"/>
  <pageSetup paperSize="9"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rightToLeft="1" workbookViewId="0">
      <pane xSplit="7" topLeftCell="H1" activePane="topRight" state="frozen"/>
      <selection pane="topRight" sqref="A1:G1"/>
    </sheetView>
  </sheetViews>
  <sheetFormatPr defaultColWidth="10.6640625" defaultRowHeight="54.95" customHeight="1"/>
  <cols>
    <col min="1" max="1" width="13.6640625" style="147" customWidth="1"/>
    <col min="2" max="2" width="11.1640625" style="147" customWidth="1"/>
    <col min="3" max="3" width="49.83203125" style="147" customWidth="1"/>
    <col min="4" max="4" width="31.1640625" style="147" customWidth="1"/>
    <col min="5" max="5" width="21.6640625" style="147" customWidth="1"/>
    <col min="6" max="6" width="20.6640625" style="147" customWidth="1"/>
    <col min="7" max="7" width="15.6640625" style="147" customWidth="1"/>
    <col min="8" max="16384" width="10.6640625" style="147"/>
  </cols>
  <sheetData>
    <row r="1" spans="1:7" s="163" customFormat="1" ht="33" customHeight="1">
      <c r="A1" s="450" t="s">
        <v>1077</v>
      </c>
      <c r="B1" s="450"/>
      <c r="C1" s="450"/>
      <c r="D1" s="450"/>
      <c r="E1" s="450"/>
      <c r="F1" s="450"/>
      <c r="G1" s="450"/>
    </row>
    <row r="2" spans="1:7" s="163" customFormat="1" ht="33" customHeight="1">
      <c r="A2" s="450" t="s">
        <v>1169</v>
      </c>
      <c r="B2" s="450"/>
      <c r="C2" s="450"/>
      <c r="D2" s="450"/>
      <c r="E2" s="450"/>
      <c r="F2" s="450"/>
      <c r="G2" s="450"/>
    </row>
    <row r="3" spans="1:7" s="163" customFormat="1" ht="33" customHeight="1">
      <c r="A3" s="450" t="s">
        <v>1170</v>
      </c>
      <c r="B3" s="450"/>
      <c r="C3" s="450"/>
      <c r="D3" s="450"/>
      <c r="E3" s="450"/>
      <c r="F3" s="450"/>
      <c r="G3" s="450"/>
    </row>
    <row r="4" spans="1:7" s="163" customFormat="1" ht="33" customHeight="1">
      <c r="A4" s="450" t="s">
        <v>1171</v>
      </c>
      <c r="B4" s="450"/>
      <c r="C4" s="450"/>
      <c r="D4" s="450"/>
      <c r="E4" s="450"/>
      <c r="F4" s="450"/>
      <c r="G4" s="450"/>
    </row>
    <row r="5" spans="1:7" ht="24.95" customHeight="1">
      <c r="A5" s="404" t="s">
        <v>1038</v>
      </c>
      <c r="B5" s="404"/>
      <c r="C5" s="404"/>
      <c r="D5" s="404"/>
      <c r="E5" s="404"/>
      <c r="F5" s="404"/>
      <c r="G5" s="404"/>
    </row>
    <row r="6" spans="1:7" ht="24.95" customHeight="1">
      <c r="A6" s="404" t="s">
        <v>1172</v>
      </c>
      <c r="B6" s="404"/>
      <c r="C6" s="404"/>
      <c r="D6" s="404"/>
      <c r="E6" s="404"/>
      <c r="F6" s="404"/>
      <c r="G6" s="404"/>
    </row>
    <row r="7" spans="1:7" ht="24.95" customHeight="1">
      <c r="A7" s="404" t="s">
        <v>1173</v>
      </c>
      <c r="B7" s="404"/>
      <c r="C7" s="404"/>
      <c r="D7" s="404"/>
      <c r="E7" s="404"/>
      <c r="F7" s="404"/>
      <c r="G7" s="404"/>
    </row>
    <row r="8" spans="1:7" ht="24.95" customHeight="1">
      <c r="A8" s="404" t="s">
        <v>1174</v>
      </c>
      <c r="B8" s="404"/>
      <c r="C8" s="404"/>
      <c r="D8" s="404"/>
      <c r="E8" s="404"/>
      <c r="F8" s="404"/>
      <c r="G8" s="404"/>
    </row>
    <row r="9" spans="1:7" ht="24.95" customHeight="1">
      <c r="A9" s="404" t="s">
        <v>1042</v>
      </c>
      <c r="B9" s="404"/>
      <c r="C9" s="404"/>
      <c r="D9" s="404"/>
      <c r="E9" s="404"/>
      <c r="F9" s="404"/>
      <c r="G9" s="404"/>
    </row>
    <row r="10" spans="1:7" ht="24.95" customHeight="1">
      <c r="A10" s="404" t="s">
        <v>1043</v>
      </c>
      <c r="B10" s="404"/>
      <c r="C10" s="404"/>
      <c r="D10" s="404"/>
      <c r="E10" s="404"/>
      <c r="F10" s="404"/>
      <c r="G10" s="404"/>
    </row>
    <row r="11" spans="1:7" ht="24.95" customHeight="1">
      <c r="A11" s="404" t="s">
        <v>1175</v>
      </c>
      <c r="B11" s="404"/>
      <c r="C11" s="404"/>
      <c r="D11" s="404"/>
      <c r="E11" s="404"/>
      <c r="F11" s="404"/>
      <c r="G11" s="404"/>
    </row>
    <row r="12" spans="1:7" ht="24.95" customHeight="1">
      <c r="A12" s="404" t="s">
        <v>1176</v>
      </c>
      <c r="B12" s="404"/>
      <c r="C12" s="404"/>
      <c r="D12" s="404"/>
      <c r="E12" s="404"/>
      <c r="F12" s="404"/>
      <c r="G12" s="404"/>
    </row>
    <row r="13" spans="1:7" ht="24.95" customHeight="1">
      <c r="A13" s="404" t="s">
        <v>1177</v>
      </c>
      <c r="B13" s="404"/>
      <c r="C13" s="404"/>
      <c r="D13" s="404"/>
      <c r="E13" s="404"/>
      <c r="F13" s="404"/>
      <c r="G13" s="404"/>
    </row>
    <row r="14" spans="1:7" ht="24.95" customHeight="1">
      <c r="A14" s="404" t="s">
        <v>1178</v>
      </c>
      <c r="B14" s="404"/>
      <c r="C14" s="404"/>
      <c r="D14" s="404"/>
      <c r="E14" s="404"/>
      <c r="F14" s="404"/>
      <c r="G14" s="404"/>
    </row>
    <row r="15" spans="1:7" ht="24.95" customHeight="1">
      <c r="A15" s="404" t="s">
        <v>1179</v>
      </c>
      <c r="B15" s="404"/>
      <c r="C15" s="404"/>
      <c r="D15" s="404"/>
      <c r="E15" s="404"/>
      <c r="F15" s="404"/>
      <c r="G15" s="404"/>
    </row>
    <row r="16" spans="1:7" ht="24.95" customHeight="1">
      <c r="A16" s="404" t="s">
        <v>1049</v>
      </c>
      <c r="B16" s="404"/>
      <c r="C16" s="404"/>
      <c r="D16" s="404"/>
      <c r="E16" s="404"/>
      <c r="F16" s="404"/>
      <c r="G16" s="404"/>
    </row>
    <row r="17" spans="1:7" ht="24.95" customHeight="1">
      <c r="A17" s="404" t="s">
        <v>1050</v>
      </c>
      <c r="B17" s="404"/>
      <c r="C17" s="404"/>
      <c r="D17" s="404"/>
      <c r="E17" s="404"/>
      <c r="F17" s="404"/>
      <c r="G17" s="404"/>
    </row>
    <row r="18" spans="1:7" ht="24.95" customHeight="1">
      <c r="A18" s="404" t="s">
        <v>1051</v>
      </c>
      <c r="B18" s="404"/>
      <c r="C18" s="404"/>
      <c r="D18" s="404"/>
      <c r="E18" s="404"/>
      <c r="F18" s="404"/>
      <c r="G18" s="404"/>
    </row>
    <row r="19" spans="1:7" ht="24.95" customHeight="1">
      <c r="A19" s="404" t="s">
        <v>1052</v>
      </c>
      <c r="B19" s="404"/>
      <c r="C19" s="404"/>
      <c r="D19" s="404"/>
      <c r="E19" s="404"/>
      <c r="F19" s="404"/>
      <c r="G19" s="404"/>
    </row>
    <row r="20" spans="1:7" ht="24.95" customHeight="1">
      <c r="A20" s="404" t="s">
        <v>1180</v>
      </c>
      <c r="B20" s="404"/>
      <c r="C20" s="404"/>
      <c r="D20" s="404"/>
      <c r="E20" s="404"/>
      <c r="F20" s="404"/>
      <c r="G20" s="404"/>
    </row>
    <row r="21" spans="1:7" ht="24.95" customHeight="1">
      <c r="A21" s="404" t="s">
        <v>1181</v>
      </c>
      <c r="B21" s="404"/>
      <c r="C21" s="404"/>
      <c r="D21" s="404"/>
      <c r="E21" s="404"/>
      <c r="F21" s="404"/>
      <c r="G21" s="404"/>
    </row>
    <row r="22" spans="1:7" ht="24.95" customHeight="1">
      <c r="A22" s="404" t="s">
        <v>1182</v>
      </c>
      <c r="B22" s="404"/>
      <c r="C22" s="404"/>
      <c r="D22" s="404"/>
      <c r="E22" s="404"/>
      <c r="F22" s="404"/>
      <c r="G22" s="404"/>
    </row>
    <row r="23" spans="1:7" ht="24.95" customHeight="1">
      <c r="A23" s="404" t="s">
        <v>1183</v>
      </c>
      <c r="B23" s="404"/>
      <c r="C23" s="404"/>
      <c r="D23" s="404"/>
      <c r="E23" s="404"/>
      <c r="F23" s="404"/>
      <c r="G23" s="404"/>
    </row>
    <row r="24" spans="1:7" s="168" customFormat="1" ht="38.1" customHeight="1">
      <c r="A24" s="404" t="s">
        <v>1184</v>
      </c>
      <c r="B24" s="404"/>
      <c r="C24" s="404"/>
      <c r="D24" s="404"/>
      <c r="E24" s="404"/>
      <c r="F24" s="404"/>
      <c r="G24" s="404"/>
    </row>
    <row r="25" spans="1:7" s="146" customFormat="1" ht="60" customHeight="1">
      <c r="A25" s="408"/>
      <c r="B25" s="287" t="s">
        <v>0</v>
      </c>
      <c r="C25" s="223" t="s">
        <v>626</v>
      </c>
      <c r="D25" s="305" t="s">
        <v>758</v>
      </c>
      <c r="E25" s="305" t="s">
        <v>1185</v>
      </c>
      <c r="F25" s="305" t="s">
        <v>760</v>
      </c>
      <c r="G25" s="409"/>
    </row>
    <row r="26" spans="1:7" s="146" customFormat="1" ht="50.1" customHeight="1">
      <c r="A26" s="408"/>
      <c r="B26" s="283" t="s">
        <v>1186</v>
      </c>
      <c r="C26" s="288" t="s">
        <v>705</v>
      </c>
      <c r="D26" s="227" t="s">
        <v>710</v>
      </c>
      <c r="E26" s="227">
        <v>101</v>
      </c>
      <c r="F26" s="294">
        <v>150</v>
      </c>
      <c r="G26" s="409"/>
    </row>
    <row r="27" spans="1:7" s="146" customFormat="1" ht="50.1" customHeight="1">
      <c r="A27" s="408"/>
      <c r="B27" s="283" t="s">
        <v>1187</v>
      </c>
      <c r="C27" s="288" t="s">
        <v>706</v>
      </c>
      <c r="D27" s="227" t="s">
        <v>710</v>
      </c>
      <c r="E27" s="227">
        <v>56</v>
      </c>
      <c r="F27" s="294">
        <f>(E27*50%)+E27</f>
        <v>84</v>
      </c>
      <c r="G27" s="409"/>
    </row>
    <row r="28" spans="1:7" s="146" customFormat="1" ht="50.1" customHeight="1">
      <c r="A28" s="408"/>
      <c r="B28" s="283" t="s">
        <v>1188</v>
      </c>
      <c r="C28" s="302" t="s">
        <v>707</v>
      </c>
      <c r="D28" s="227" t="s">
        <v>710</v>
      </c>
      <c r="E28" s="227">
        <v>0</v>
      </c>
      <c r="F28" s="294">
        <v>350</v>
      </c>
      <c r="G28" s="409"/>
    </row>
    <row r="29" spans="1:7" s="146" customFormat="1" ht="50.1" customHeight="1">
      <c r="A29" s="408"/>
      <c r="B29" s="283" t="s">
        <v>1189</v>
      </c>
      <c r="C29" s="302" t="s">
        <v>708</v>
      </c>
      <c r="D29" s="227" t="s">
        <v>710</v>
      </c>
      <c r="E29" s="227">
        <v>0</v>
      </c>
      <c r="F29" s="294">
        <v>50</v>
      </c>
      <c r="G29" s="409"/>
    </row>
    <row r="30" spans="1:7" ht="65.099999999999994" customHeight="1">
      <c r="A30" s="406"/>
      <c r="B30" s="406"/>
      <c r="C30" s="406"/>
      <c r="D30" s="406"/>
      <c r="E30" s="406"/>
      <c r="F30" s="406"/>
      <c r="G30" s="407"/>
    </row>
  </sheetData>
  <mergeCells count="27">
    <mergeCell ref="A30:G30"/>
    <mergeCell ref="A25:A29"/>
    <mergeCell ref="G25:G29"/>
    <mergeCell ref="A19:G19"/>
    <mergeCell ref="A20:G20"/>
    <mergeCell ref="A21:G21"/>
    <mergeCell ref="A22:G22"/>
    <mergeCell ref="A23:G23"/>
    <mergeCell ref="A24:G24"/>
    <mergeCell ref="A18:G18"/>
    <mergeCell ref="A7:G7"/>
    <mergeCell ref="A8:G8"/>
    <mergeCell ref="A9:G9"/>
    <mergeCell ref="A10:G10"/>
    <mergeCell ref="A11:G11"/>
    <mergeCell ref="A12:G12"/>
    <mergeCell ref="A13:G13"/>
    <mergeCell ref="A14:G14"/>
    <mergeCell ref="A15:G15"/>
    <mergeCell ref="A16:G16"/>
    <mergeCell ref="A17:G17"/>
    <mergeCell ref="A6:G6"/>
    <mergeCell ref="A1:G1"/>
    <mergeCell ref="A2:G2"/>
    <mergeCell ref="A3:G3"/>
    <mergeCell ref="A4:G4"/>
    <mergeCell ref="A5:G5"/>
  </mergeCells>
  <printOptions headings="1"/>
  <pageMargins left="0.7" right="0.35" top="0.75" bottom="0.75" header="0.3" footer="0.3"/>
  <pageSetup paperSize="9" scale="60" orientation="portrait"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1"/>
  <sheetViews>
    <sheetView showGridLines="0" rightToLeft="1" workbookViewId="0">
      <pane xSplit="14" topLeftCell="O1" activePane="topRight" state="frozen"/>
      <selection activeCell="F12" sqref="F12"/>
      <selection pane="topRight" sqref="A1:N1"/>
    </sheetView>
  </sheetViews>
  <sheetFormatPr defaultColWidth="10.6640625" defaultRowHeight="35.1" customHeight="1"/>
  <cols>
    <col min="1" max="1" width="7.6640625" style="35" customWidth="1"/>
    <col min="2" max="2" width="27.5" style="35" customWidth="1"/>
    <col min="3" max="3" width="13.1640625" style="35" customWidth="1"/>
    <col min="4" max="4" width="13.1640625" style="52" customWidth="1"/>
    <col min="5" max="13" width="10.1640625" style="52" customWidth="1"/>
    <col min="14" max="14" width="10.6640625" style="53" customWidth="1"/>
    <col min="15" max="18" width="8.6640625" style="32" customWidth="1"/>
    <col min="19" max="19" width="8.6640625" style="33" customWidth="1"/>
    <col min="20" max="20" width="13.33203125" style="34" customWidth="1"/>
    <col min="21" max="21" width="10.6640625" style="33"/>
    <col min="22" max="16384" width="10.6640625" style="35"/>
  </cols>
  <sheetData>
    <row r="1" spans="1:21" ht="42" customHeight="1">
      <c r="A1" s="466" t="s">
        <v>116</v>
      </c>
      <c r="B1" s="466"/>
      <c r="C1" s="466"/>
      <c r="D1" s="466"/>
      <c r="E1" s="466"/>
      <c r="F1" s="466"/>
      <c r="G1" s="466"/>
      <c r="H1" s="466"/>
      <c r="I1" s="466"/>
      <c r="J1" s="466"/>
      <c r="K1" s="466"/>
      <c r="L1" s="466"/>
      <c r="M1" s="466"/>
      <c r="N1" s="466"/>
    </row>
    <row r="2" spans="1:21" s="38" customFormat="1" ht="25.5" customHeight="1">
      <c r="A2" s="374" t="s">
        <v>0</v>
      </c>
      <c r="B2" s="374" t="s">
        <v>11</v>
      </c>
      <c r="C2" s="374" t="s">
        <v>102</v>
      </c>
      <c r="D2" s="375" t="s">
        <v>103</v>
      </c>
      <c r="E2" s="375" t="s">
        <v>104</v>
      </c>
      <c r="F2" s="375"/>
      <c r="G2" s="375"/>
      <c r="H2" s="375"/>
      <c r="I2" s="375"/>
      <c r="J2" s="375" t="s">
        <v>105</v>
      </c>
      <c r="K2" s="375"/>
      <c r="L2" s="375"/>
      <c r="M2" s="375"/>
      <c r="N2" s="375"/>
      <c r="O2" s="32"/>
      <c r="P2" s="32"/>
      <c r="Q2" s="32"/>
      <c r="R2" s="32"/>
      <c r="S2" s="36"/>
      <c r="T2" s="37"/>
      <c r="U2" s="36"/>
    </row>
    <row r="3" spans="1:21" s="38" customFormat="1" ht="20.100000000000001" customHeight="1">
      <c r="A3" s="374"/>
      <c r="B3" s="374"/>
      <c r="C3" s="374"/>
      <c r="D3" s="375"/>
      <c r="E3" s="375" t="s">
        <v>106</v>
      </c>
      <c r="F3" s="375"/>
      <c r="G3" s="461">
        <v>1397</v>
      </c>
      <c r="H3" s="461">
        <v>1398</v>
      </c>
      <c r="I3" s="461">
        <v>1399</v>
      </c>
      <c r="J3" s="461">
        <v>1400</v>
      </c>
      <c r="K3" s="461">
        <v>1401</v>
      </c>
      <c r="L3" s="461">
        <v>1402</v>
      </c>
      <c r="M3" s="461">
        <v>1403</v>
      </c>
      <c r="N3" s="461">
        <v>1404</v>
      </c>
      <c r="O3" s="32"/>
      <c r="P3" s="32"/>
      <c r="Q3" s="32"/>
      <c r="R3" s="32"/>
      <c r="S3" s="36"/>
      <c r="T3" s="37"/>
      <c r="U3" s="36"/>
    </row>
    <row r="4" spans="1:21" s="87" customFormat="1" ht="21.75" customHeight="1">
      <c r="A4" s="374"/>
      <c r="B4" s="374"/>
      <c r="C4" s="374"/>
      <c r="D4" s="375"/>
      <c r="E4" s="289">
        <v>1395</v>
      </c>
      <c r="F4" s="289">
        <v>1396</v>
      </c>
      <c r="G4" s="461"/>
      <c r="H4" s="461"/>
      <c r="I4" s="461"/>
      <c r="J4" s="461"/>
      <c r="K4" s="461"/>
      <c r="L4" s="461"/>
      <c r="M4" s="461"/>
      <c r="N4" s="461"/>
      <c r="O4" s="83"/>
      <c r="P4" s="83"/>
      <c r="Q4" s="84"/>
      <c r="R4" s="83"/>
      <c r="S4" s="85"/>
      <c r="T4" s="86"/>
      <c r="U4" s="85"/>
    </row>
    <row r="5" spans="1:21" s="87" customFormat="1" ht="30" customHeight="1">
      <c r="A5" s="290">
        <v>1</v>
      </c>
      <c r="B5" s="205" t="s">
        <v>14</v>
      </c>
      <c r="C5" s="206">
        <f>($A$200+$B$200)*'[33]نرخ تسهیم'!J3</f>
        <v>977.82476846346754</v>
      </c>
      <c r="D5" s="207">
        <f>C5*1.05</f>
        <v>1026.716006886641</v>
      </c>
      <c r="E5" s="207">
        <f t="shared" ref="E5:N5" si="0">D5*1.05</f>
        <v>1078.0518072309731</v>
      </c>
      <c r="F5" s="207">
        <f t="shared" si="0"/>
        <v>1131.9543975925217</v>
      </c>
      <c r="G5" s="207">
        <f t="shared" si="0"/>
        <v>1188.5521174721478</v>
      </c>
      <c r="H5" s="207">
        <f t="shared" si="0"/>
        <v>1247.9797233457552</v>
      </c>
      <c r="I5" s="207">
        <f t="shared" si="0"/>
        <v>1310.3787095130431</v>
      </c>
      <c r="J5" s="207">
        <f t="shared" si="0"/>
        <v>1375.8976449886952</v>
      </c>
      <c r="K5" s="207">
        <f t="shared" si="0"/>
        <v>1444.69252723813</v>
      </c>
      <c r="L5" s="207">
        <f t="shared" si="0"/>
        <v>1516.9271536000365</v>
      </c>
      <c r="M5" s="207">
        <f t="shared" si="0"/>
        <v>1592.7735112800383</v>
      </c>
      <c r="N5" s="207">
        <f t="shared" si="0"/>
        <v>1672.4121868440402</v>
      </c>
      <c r="O5" s="83"/>
      <c r="P5" s="83"/>
      <c r="Q5" s="84"/>
      <c r="R5" s="84"/>
      <c r="S5" s="84"/>
      <c r="T5" s="86"/>
      <c r="U5" s="85"/>
    </row>
    <row r="6" spans="1:21" s="87" customFormat="1" ht="30" customHeight="1">
      <c r="A6" s="290">
        <v>2</v>
      </c>
      <c r="B6" s="205" t="s">
        <v>15</v>
      </c>
      <c r="C6" s="206">
        <f>($A$200+$B$200)*'[33]نرخ تسهیم'!J4</f>
        <v>979.84392899208763</v>
      </c>
      <c r="D6" s="207">
        <f t="shared" ref="D6:N21" si="1">C6*1.05</f>
        <v>1028.836125441692</v>
      </c>
      <c r="E6" s="207">
        <f t="shared" si="1"/>
        <v>1080.2779317137768</v>
      </c>
      <c r="F6" s="207">
        <f t="shared" si="1"/>
        <v>1134.2918282994656</v>
      </c>
      <c r="G6" s="207">
        <f t="shared" si="1"/>
        <v>1191.0064197144388</v>
      </c>
      <c r="H6" s="207">
        <f t="shared" si="1"/>
        <v>1250.5567407001608</v>
      </c>
      <c r="I6" s="207">
        <f t="shared" si="1"/>
        <v>1313.084577735169</v>
      </c>
      <c r="J6" s="207">
        <f t="shared" si="1"/>
        <v>1378.7388066219276</v>
      </c>
      <c r="K6" s="207">
        <f t="shared" si="1"/>
        <v>1447.6757469530239</v>
      </c>
      <c r="L6" s="207">
        <f t="shared" si="1"/>
        <v>1520.0595343006751</v>
      </c>
      <c r="M6" s="207">
        <f t="shared" si="1"/>
        <v>1596.0625110157089</v>
      </c>
      <c r="N6" s="207">
        <f t="shared" si="1"/>
        <v>1675.8656365664945</v>
      </c>
      <c r="O6" s="83"/>
      <c r="P6" s="83"/>
      <c r="Q6" s="84"/>
      <c r="R6" s="84"/>
      <c r="S6" s="84"/>
      <c r="T6" s="86"/>
      <c r="U6" s="85"/>
    </row>
    <row r="7" spans="1:21" s="87" customFormat="1" ht="30" customHeight="1">
      <c r="A7" s="290">
        <v>3</v>
      </c>
      <c r="B7" s="205" t="s">
        <v>16</v>
      </c>
      <c r="C7" s="206">
        <f>($A$200+$B$200)*'[33]نرخ تسهیم'!J5</f>
        <v>336.06792903717309</v>
      </c>
      <c r="D7" s="207">
        <f t="shared" si="1"/>
        <v>352.87132548903173</v>
      </c>
      <c r="E7" s="207">
        <f t="shared" si="1"/>
        <v>370.51489176348332</v>
      </c>
      <c r="F7" s="207">
        <f t="shared" si="1"/>
        <v>389.0406363516575</v>
      </c>
      <c r="G7" s="207">
        <f t="shared" si="1"/>
        <v>408.4926681692404</v>
      </c>
      <c r="H7" s="207">
        <f t="shared" si="1"/>
        <v>428.91730157770246</v>
      </c>
      <c r="I7" s="207">
        <f t="shared" si="1"/>
        <v>450.36316665658762</v>
      </c>
      <c r="J7" s="207">
        <f t="shared" si="1"/>
        <v>472.88132498941701</v>
      </c>
      <c r="K7" s="207">
        <f t="shared" si="1"/>
        <v>496.52539123888789</v>
      </c>
      <c r="L7" s="207">
        <f t="shared" si="1"/>
        <v>521.35166080083229</v>
      </c>
      <c r="M7" s="207">
        <f t="shared" si="1"/>
        <v>547.41924384087395</v>
      </c>
      <c r="N7" s="207">
        <f t="shared" si="1"/>
        <v>574.79020603291769</v>
      </c>
      <c r="O7" s="83"/>
      <c r="P7" s="83"/>
      <c r="Q7" s="84"/>
      <c r="R7" s="84"/>
      <c r="S7" s="84"/>
      <c r="T7" s="86"/>
      <c r="U7" s="85"/>
    </row>
    <row r="8" spans="1:21" s="87" customFormat="1" ht="30" customHeight="1">
      <c r="A8" s="290">
        <v>4</v>
      </c>
      <c r="B8" s="205" t="s">
        <v>17</v>
      </c>
      <c r="C8" s="206">
        <f>($A$200+$B$200)*'[33]نرخ تسهیم'!J6</f>
        <v>1336.7878167021363</v>
      </c>
      <c r="D8" s="207">
        <f t="shared" si="1"/>
        <v>1403.6272075372431</v>
      </c>
      <c r="E8" s="207">
        <f t="shared" si="1"/>
        <v>1473.8085679141052</v>
      </c>
      <c r="F8" s="207">
        <f t="shared" si="1"/>
        <v>1547.4989963098105</v>
      </c>
      <c r="G8" s="207">
        <f t="shared" si="1"/>
        <v>1624.8739461253012</v>
      </c>
      <c r="H8" s="207">
        <f t="shared" si="1"/>
        <v>1706.1176434315664</v>
      </c>
      <c r="I8" s="207">
        <f t="shared" si="1"/>
        <v>1791.4235256031448</v>
      </c>
      <c r="J8" s="207">
        <f t="shared" si="1"/>
        <v>1880.994701883302</v>
      </c>
      <c r="K8" s="207">
        <f t="shared" si="1"/>
        <v>1975.0444369774673</v>
      </c>
      <c r="L8" s="207">
        <f t="shared" si="1"/>
        <v>2073.7966588263407</v>
      </c>
      <c r="M8" s="207">
        <f t="shared" si="1"/>
        <v>2177.4864917676578</v>
      </c>
      <c r="N8" s="207">
        <f t="shared" si="1"/>
        <v>2286.3608163560407</v>
      </c>
      <c r="O8" s="83"/>
      <c r="P8" s="83"/>
      <c r="Q8" s="84"/>
      <c r="R8" s="84"/>
      <c r="S8" s="84"/>
      <c r="T8" s="86"/>
      <c r="U8" s="85"/>
    </row>
    <row r="9" spans="1:21" s="87" customFormat="1" ht="30" customHeight="1">
      <c r="A9" s="290">
        <v>5</v>
      </c>
      <c r="B9" s="205" t="s">
        <v>18</v>
      </c>
      <c r="C9" s="206">
        <f>($A$200+$B$200)*'[33]نرخ تسهیم'!J7</f>
        <v>530.20986526106105</v>
      </c>
      <c r="D9" s="207">
        <f t="shared" si="1"/>
        <v>556.72035852411409</v>
      </c>
      <c r="E9" s="207">
        <f t="shared" si="1"/>
        <v>584.55637645031982</v>
      </c>
      <c r="F9" s="207">
        <f t="shared" si="1"/>
        <v>613.78419527283586</v>
      </c>
      <c r="G9" s="207">
        <f t="shared" si="1"/>
        <v>644.47340503647763</v>
      </c>
      <c r="H9" s="207">
        <f t="shared" si="1"/>
        <v>676.69707528830156</v>
      </c>
      <c r="I9" s="207">
        <f t="shared" si="1"/>
        <v>710.53192905271669</v>
      </c>
      <c r="J9" s="207">
        <f t="shared" si="1"/>
        <v>746.05852550535258</v>
      </c>
      <c r="K9" s="207">
        <f t="shared" si="1"/>
        <v>783.3614517806202</v>
      </c>
      <c r="L9" s="207">
        <f t="shared" si="1"/>
        <v>822.5295243696512</v>
      </c>
      <c r="M9" s="207">
        <f t="shared" si="1"/>
        <v>863.65600058813379</v>
      </c>
      <c r="N9" s="207">
        <f t="shared" si="1"/>
        <v>906.83880061754053</v>
      </c>
      <c r="O9" s="83"/>
      <c r="P9" s="83"/>
      <c r="Q9" s="84"/>
      <c r="R9" s="84"/>
      <c r="S9" s="84"/>
      <c r="T9" s="86"/>
      <c r="U9" s="85"/>
    </row>
    <row r="10" spans="1:21" s="87" customFormat="1" ht="30" customHeight="1">
      <c r="A10" s="290">
        <v>6</v>
      </c>
      <c r="B10" s="205" t="s">
        <v>19</v>
      </c>
      <c r="C10" s="206">
        <f>($A$200+$B$200)*'[33]نرخ تسهیم'!J8</f>
        <v>236.20270619264761</v>
      </c>
      <c r="D10" s="207">
        <f t="shared" si="1"/>
        <v>248.01284150228</v>
      </c>
      <c r="E10" s="207">
        <f t="shared" si="1"/>
        <v>260.413483577394</v>
      </c>
      <c r="F10" s="207">
        <f t="shared" si="1"/>
        <v>273.43415775626374</v>
      </c>
      <c r="G10" s="207">
        <f t="shared" si="1"/>
        <v>287.10586564407697</v>
      </c>
      <c r="H10" s="207">
        <f t="shared" si="1"/>
        <v>301.46115892628086</v>
      </c>
      <c r="I10" s="207">
        <f t="shared" si="1"/>
        <v>316.53421687259493</v>
      </c>
      <c r="J10" s="207">
        <f t="shared" si="1"/>
        <v>332.36092771622469</v>
      </c>
      <c r="K10" s="207">
        <f t="shared" si="1"/>
        <v>348.97897410203592</v>
      </c>
      <c r="L10" s="207">
        <f t="shared" si="1"/>
        <v>366.42792280713775</v>
      </c>
      <c r="M10" s="207">
        <f t="shared" si="1"/>
        <v>384.74931894749466</v>
      </c>
      <c r="N10" s="207">
        <f t="shared" si="1"/>
        <v>403.9867848948694</v>
      </c>
      <c r="O10" s="83"/>
      <c r="P10" s="83"/>
      <c r="Q10" s="84"/>
      <c r="R10" s="84"/>
      <c r="S10" s="84"/>
      <c r="T10" s="86"/>
      <c r="U10" s="85"/>
    </row>
    <row r="11" spans="1:21" s="87" customFormat="1" ht="30" customHeight="1">
      <c r="A11" s="290">
        <v>7</v>
      </c>
      <c r="B11" s="205" t="s">
        <v>20</v>
      </c>
      <c r="C11" s="206">
        <f>($A$200+$B$200)*'[33]نرخ تسهیم'!J9</f>
        <v>243.68287321044636</v>
      </c>
      <c r="D11" s="207">
        <f t="shared" si="1"/>
        <v>255.86701687096868</v>
      </c>
      <c r="E11" s="207">
        <f t="shared" si="1"/>
        <v>268.66036771451712</v>
      </c>
      <c r="F11" s="207">
        <f t="shared" si="1"/>
        <v>282.09338610024298</v>
      </c>
      <c r="G11" s="207">
        <f t="shared" si="1"/>
        <v>296.19805540525516</v>
      </c>
      <c r="H11" s="207">
        <f t="shared" si="1"/>
        <v>311.00795817551796</v>
      </c>
      <c r="I11" s="207">
        <f t="shared" si="1"/>
        <v>326.55835608429385</v>
      </c>
      <c r="J11" s="207">
        <f t="shared" si="1"/>
        <v>342.88627388850858</v>
      </c>
      <c r="K11" s="207">
        <f t="shared" si="1"/>
        <v>360.030587582934</v>
      </c>
      <c r="L11" s="207">
        <f t="shared" si="1"/>
        <v>378.03211696208069</v>
      </c>
      <c r="M11" s="207">
        <f t="shared" si="1"/>
        <v>396.93372281018475</v>
      </c>
      <c r="N11" s="207">
        <f t="shared" si="1"/>
        <v>416.78040895069398</v>
      </c>
      <c r="O11" s="83"/>
      <c r="P11" s="83"/>
      <c r="Q11" s="84"/>
      <c r="R11" s="84"/>
      <c r="S11" s="84"/>
      <c r="T11" s="86"/>
      <c r="U11" s="85"/>
    </row>
    <row r="12" spans="1:21" s="87" customFormat="1" ht="30" customHeight="1">
      <c r="A12" s="290">
        <v>8</v>
      </c>
      <c r="B12" s="205" t="s">
        <v>21</v>
      </c>
      <c r="C12" s="206">
        <f>($A$200+$B$200)*'[33]نرخ تسهیم'!J10</f>
        <v>1644.1367849766661</v>
      </c>
      <c r="D12" s="207">
        <f t="shared" si="1"/>
        <v>1726.3436242254995</v>
      </c>
      <c r="E12" s="207">
        <f t="shared" si="1"/>
        <v>1812.6608054367746</v>
      </c>
      <c r="F12" s="207">
        <f t="shared" si="1"/>
        <v>1903.2938457086134</v>
      </c>
      <c r="G12" s="207">
        <f t="shared" si="1"/>
        <v>1998.458537994044</v>
      </c>
      <c r="H12" s="207">
        <f t="shared" si="1"/>
        <v>2098.3814648937464</v>
      </c>
      <c r="I12" s="207">
        <f t="shared" si="1"/>
        <v>2203.3005381384337</v>
      </c>
      <c r="J12" s="207">
        <f t="shared" si="1"/>
        <v>2313.4655650453556</v>
      </c>
      <c r="K12" s="207">
        <f t="shared" si="1"/>
        <v>2429.1388432976232</v>
      </c>
      <c r="L12" s="207">
        <f t="shared" si="1"/>
        <v>2550.5957854625044</v>
      </c>
      <c r="M12" s="207">
        <f t="shared" si="1"/>
        <v>2678.1255747356299</v>
      </c>
      <c r="N12" s="207">
        <f t="shared" si="1"/>
        <v>2812.0318534724115</v>
      </c>
      <c r="O12" s="83"/>
      <c r="P12" s="83"/>
      <c r="Q12" s="84"/>
      <c r="R12" s="84"/>
      <c r="S12" s="84"/>
      <c r="T12" s="86"/>
      <c r="U12" s="85"/>
    </row>
    <row r="13" spans="1:21" s="87" customFormat="1" ht="30" customHeight="1">
      <c r="A13" s="290">
        <v>9</v>
      </c>
      <c r="B13" s="205" t="s">
        <v>22</v>
      </c>
      <c r="C13" s="206">
        <f>($A$200+$B$200)*'[33]نرخ تسهیم'!J11</f>
        <v>178.30491093488305</v>
      </c>
      <c r="D13" s="207">
        <f t="shared" si="1"/>
        <v>187.22015648162721</v>
      </c>
      <c r="E13" s="207">
        <f t="shared" si="1"/>
        <v>196.58116430570857</v>
      </c>
      <c r="F13" s="207">
        <f t="shared" si="1"/>
        <v>206.41022252099401</v>
      </c>
      <c r="G13" s="207">
        <f t="shared" si="1"/>
        <v>216.73073364704373</v>
      </c>
      <c r="H13" s="207">
        <f t="shared" si="1"/>
        <v>227.56727032939594</v>
      </c>
      <c r="I13" s="207">
        <f t="shared" si="1"/>
        <v>238.94563384586576</v>
      </c>
      <c r="J13" s="207">
        <f t="shared" si="1"/>
        <v>250.89291553815906</v>
      </c>
      <c r="K13" s="207">
        <f t="shared" si="1"/>
        <v>263.437561315067</v>
      </c>
      <c r="L13" s="207">
        <f t="shared" si="1"/>
        <v>276.60943938082039</v>
      </c>
      <c r="M13" s="207">
        <f t="shared" si="1"/>
        <v>290.4399113498614</v>
      </c>
      <c r="N13" s="207">
        <f t="shared" si="1"/>
        <v>304.9619069173545</v>
      </c>
      <c r="O13" s="83"/>
      <c r="P13" s="83"/>
      <c r="Q13" s="84"/>
      <c r="R13" s="84"/>
      <c r="S13" s="84"/>
      <c r="T13" s="86"/>
      <c r="U13" s="85"/>
    </row>
    <row r="14" spans="1:21" s="87" customFormat="1" ht="30" customHeight="1">
      <c r="A14" s="290">
        <v>10</v>
      </c>
      <c r="B14" s="205" t="s">
        <v>23</v>
      </c>
      <c r="C14" s="206">
        <f>($A$200+$B$200)*'[33]نرخ تسهیم'!J12</f>
        <v>342.80361382333433</v>
      </c>
      <c r="D14" s="207">
        <f t="shared" si="1"/>
        <v>359.94379451450106</v>
      </c>
      <c r="E14" s="207">
        <f t="shared" si="1"/>
        <v>377.94098424022616</v>
      </c>
      <c r="F14" s="207">
        <f t="shared" si="1"/>
        <v>396.83803345223748</v>
      </c>
      <c r="G14" s="207">
        <f t="shared" si="1"/>
        <v>416.67993512484935</v>
      </c>
      <c r="H14" s="207">
        <f t="shared" si="1"/>
        <v>437.51393188109182</v>
      </c>
      <c r="I14" s="207">
        <f t="shared" si="1"/>
        <v>459.38962847514642</v>
      </c>
      <c r="J14" s="207">
        <f t="shared" si="1"/>
        <v>482.35910989890374</v>
      </c>
      <c r="K14" s="207">
        <f t="shared" si="1"/>
        <v>506.47706539384893</v>
      </c>
      <c r="L14" s="207">
        <f t="shared" si="1"/>
        <v>531.80091866354144</v>
      </c>
      <c r="M14" s="207">
        <f t="shared" si="1"/>
        <v>558.3909645967185</v>
      </c>
      <c r="N14" s="207">
        <f t="shared" si="1"/>
        <v>586.31051282655449</v>
      </c>
      <c r="O14" s="83"/>
      <c r="P14" s="83"/>
      <c r="Q14" s="84"/>
      <c r="R14" s="84"/>
      <c r="S14" s="84"/>
      <c r="T14" s="86"/>
      <c r="U14" s="85"/>
    </row>
    <row r="15" spans="1:21" s="87" customFormat="1" ht="30" customHeight="1">
      <c r="A15" s="290">
        <v>11</v>
      </c>
      <c r="B15" s="205" t="s">
        <v>24</v>
      </c>
      <c r="C15" s="206">
        <f>($A$200+$B$200)*'[33]نرخ تسهیم'!J13</f>
        <v>650.90825631550479</v>
      </c>
      <c r="D15" s="207">
        <f t="shared" si="1"/>
        <v>683.45366913128009</v>
      </c>
      <c r="E15" s="207">
        <f t="shared" si="1"/>
        <v>717.62635258784417</v>
      </c>
      <c r="F15" s="207">
        <f t="shared" si="1"/>
        <v>753.50767021723641</v>
      </c>
      <c r="G15" s="207">
        <f t="shared" si="1"/>
        <v>791.18305372809823</v>
      </c>
      <c r="H15" s="207">
        <f t="shared" si="1"/>
        <v>830.74220641450313</v>
      </c>
      <c r="I15" s="207">
        <f t="shared" si="1"/>
        <v>872.27931673522835</v>
      </c>
      <c r="J15" s="207">
        <f t="shared" si="1"/>
        <v>915.89328257198986</v>
      </c>
      <c r="K15" s="207">
        <f t="shared" si="1"/>
        <v>961.68794670058935</v>
      </c>
      <c r="L15" s="207">
        <f t="shared" si="1"/>
        <v>1009.7723440356189</v>
      </c>
      <c r="M15" s="207">
        <f t="shared" si="1"/>
        <v>1060.2609612373999</v>
      </c>
      <c r="N15" s="207">
        <f t="shared" si="1"/>
        <v>1113.2740092992699</v>
      </c>
      <c r="O15" s="83"/>
      <c r="P15" s="83"/>
      <c r="Q15" s="84"/>
      <c r="R15" s="84"/>
      <c r="S15" s="84"/>
      <c r="T15" s="86"/>
      <c r="U15" s="85"/>
    </row>
    <row r="16" spans="1:21" s="87" customFormat="1" ht="30" customHeight="1">
      <c r="A16" s="290">
        <v>12</v>
      </c>
      <c r="B16" s="205" t="s">
        <v>25</v>
      </c>
      <c r="C16" s="206">
        <f>($A$200+$B$200)*'[33]نرخ تسهیم'!J14</f>
        <v>1904.4150715532453</v>
      </c>
      <c r="D16" s="207">
        <f t="shared" si="1"/>
        <v>1999.6358251309077</v>
      </c>
      <c r="E16" s="207">
        <f t="shared" si="1"/>
        <v>2099.6176163874534</v>
      </c>
      <c r="F16" s="207">
        <f t="shared" si="1"/>
        <v>2204.5984972068263</v>
      </c>
      <c r="G16" s="207">
        <f t="shared" si="1"/>
        <v>2314.8284220671676</v>
      </c>
      <c r="H16" s="207">
        <f t="shared" si="1"/>
        <v>2430.5698431705259</v>
      </c>
      <c r="I16" s="207">
        <f t="shared" si="1"/>
        <v>2552.0983353290521</v>
      </c>
      <c r="J16" s="207">
        <f t="shared" si="1"/>
        <v>2679.7032520955049</v>
      </c>
      <c r="K16" s="207">
        <f t="shared" si="1"/>
        <v>2813.6884147002802</v>
      </c>
      <c r="L16" s="207">
        <f t="shared" si="1"/>
        <v>2954.3728354352943</v>
      </c>
      <c r="M16" s="207">
        <f t="shared" si="1"/>
        <v>3102.0914772070591</v>
      </c>
      <c r="N16" s="207">
        <f t="shared" si="1"/>
        <v>3257.1960510674121</v>
      </c>
      <c r="O16" s="83"/>
      <c r="P16" s="83"/>
      <c r="Q16" s="84"/>
      <c r="R16" s="84"/>
      <c r="S16" s="84"/>
      <c r="T16" s="86"/>
      <c r="U16" s="85"/>
    </row>
    <row r="17" spans="1:21" s="87" customFormat="1" ht="30" customHeight="1">
      <c r="A17" s="290">
        <v>13</v>
      </c>
      <c r="B17" s="205" t="s">
        <v>26</v>
      </c>
      <c r="C17" s="206">
        <f>($A$200+$B$200)*'[33]نرخ تسهیم'!J15</f>
        <v>245.31836653686523</v>
      </c>
      <c r="D17" s="207">
        <f t="shared" si="1"/>
        <v>257.58428486370849</v>
      </c>
      <c r="E17" s="207">
        <f t="shared" si="1"/>
        <v>270.46349910689395</v>
      </c>
      <c r="F17" s="207">
        <f t="shared" si="1"/>
        <v>283.98667406223865</v>
      </c>
      <c r="G17" s="207">
        <f t="shared" si="1"/>
        <v>298.18600776535061</v>
      </c>
      <c r="H17" s="207">
        <f t="shared" si="1"/>
        <v>313.09530815361813</v>
      </c>
      <c r="I17" s="207">
        <f t="shared" si="1"/>
        <v>328.75007356129908</v>
      </c>
      <c r="J17" s="207">
        <f t="shared" si="1"/>
        <v>345.18757723936403</v>
      </c>
      <c r="K17" s="207">
        <f t="shared" si="1"/>
        <v>362.44695610133226</v>
      </c>
      <c r="L17" s="207">
        <f t="shared" si="1"/>
        <v>380.56930390639889</v>
      </c>
      <c r="M17" s="207">
        <f t="shared" si="1"/>
        <v>399.59776910171882</v>
      </c>
      <c r="N17" s="207">
        <f t="shared" si="1"/>
        <v>419.57765755680481</v>
      </c>
      <c r="O17" s="83"/>
      <c r="P17" s="83"/>
      <c r="Q17" s="84"/>
      <c r="R17" s="84"/>
      <c r="S17" s="84"/>
      <c r="T17" s="86"/>
      <c r="U17" s="85"/>
    </row>
    <row r="18" spans="1:21" s="87" customFormat="1" ht="30" customHeight="1">
      <c r="A18" s="290">
        <v>14</v>
      </c>
      <c r="B18" s="205" t="s">
        <v>27</v>
      </c>
      <c r="C18" s="206">
        <f>($A$200+$B$200)*'[33]نرخ تسهیم'!J16</f>
        <v>1191.6827536592762</v>
      </c>
      <c r="D18" s="207">
        <f t="shared" si="1"/>
        <v>1251.2668913422401</v>
      </c>
      <c r="E18" s="207">
        <f t="shared" si="1"/>
        <v>1313.8302359093523</v>
      </c>
      <c r="F18" s="207">
        <f t="shared" si="1"/>
        <v>1379.52174770482</v>
      </c>
      <c r="G18" s="207">
        <f t="shared" si="1"/>
        <v>1448.497835090061</v>
      </c>
      <c r="H18" s="207">
        <f t="shared" si="1"/>
        <v>1520.9227268445641</v>
      </c>
      <c r="I18" s="207">
        <f t="shared" si="1"/>
        <v>1596.9688631867923</v>
      </c>
      <c r="J18" s="207">
        <f t="shared" si="1"/>
        <v>1676.817306346132</v>
      </c>
      <c r="K18" s="207">
        <f t="shared" si="1"/>
        <v>1760.6581716634387</v>
      </c>
      <c r="L18" s="207">
        <f t="shared" si="1"/>
        <v>1848.6910802466107</v>
      </c>
      <c r="M18" s="207">
        <f t="shared" si="1"/>
        <v>1941.1256342589413</v>
      </c>
      <c r="N18" s="207">
        <f t="shared" si="1"/>
        <v>2038.1819159718884</v>
      </c>
      <c r="O18" s="83"/>
      <c r="P18" s="83"/>
      <c r="Q18" s="84"/>
      <c r="R18" s="84"/>
      <c r="S18" s="84"/>
      <c r="T18" s="86"/>
      <c r="U18" s="85"/>
    </row>
    <row r="19" spans="1:21" s="87" customFormat="1" ht="30" customHeight="1">
      <c r="A19" s="290">
        <v>15</v>
      </c>
      <c r="B19" s="205" t="s">
        <v>28</v>
      </c>
      <c r="C19" s="206">
        <f>($A$200+$B$200)*'[33]نرخ تسهیم'!J17</f>
        <v>452.73379769729991</v>
      </c>
      <c r="D19" s="207">
        <f t="shared" si="1"/>
        <v>475.37048758216491</v>
      </c>
      <c r="E19" s="207">
        <f t="shared" si="1"/>
        <v>499.13901196127318</v>
      </c>
      <c r="F19" s="207">
        <f t="shared" si="1"/>
        <v>524.09596255933684</v>
      </c>
      <c r="G19" s="207">
        <f t="shared" si="1"/>
        <v>550.30076068730375</v>
      </c>
      <c r="H19" s="207">
        <f t="shared" si="1"/>
        <v>577.81579872166901</v>
      </c>
      <c r="I19" s="207">
        <f t="shared" si="1"/>
        <v>606.70658865775249</v>
      </c>
      <c r="J19" s="207">
        <f t="shared" si="1"/>
        <v>637.04191809064014</v>
      </c>
      <c r="K19" s="207">
        <f t="shared" si="1"/>
        <v>668.89401399517214</v>
      </c>
      <c r="L19" s="207">
        <f t="shared" si="1"/>
        <v>702.33871469493079</v>
      </c>
      <c r="M19" s="207">
        <f t="shared" si="1"/>
        <v>737.45565042967735</v>
      </c>
      <c r="N19" s="207">
        <f t="shared" si="1"/>
        <v>774.32843295116129</v>
      </c>
      <c r="O19" s="83"/>
      <c r="P19" s="83"/>
      <c r="Q19" s="84"/>
      <c r="R19" s="84"/>
      <c r="S19" s="84"/>
      <c r="T19" s="86"/>
      <c r="U19" s="85"/>
    </row>
    <row r="20" spans="1:21" s="87" customFormat="1" ht="30" customHeight="1">
      <c r="A20" s="290">
        <v>16</v>
      </c>
      <c r="B20" s="205" t="s">
        <v>29</v>
      </c>
      <c r="C20" s="206">
        <f>($A$200+$B$200)*'[33]نرخ تسهیم'!J18</f>
        <v>441.16381871160291</v>
      </c>
      <c r="D20" s="207">
        <f t="shared" si="1"/>
        <v>463.22200964718309</v>
      </c>
      <c r="E20" s="207">
        <f t="shared" si="1"/>
        <v>486.38311012954227</v>
      </c>
      <c r="F20" s="207">
        <f t="shared" si="1"/>
        <v>510.70226563601943</v>
      </c>
      <c r="G20" s="207">
        <f t="shared" si="1"/>
        <v>536.23737891782048</v>
      </c>
      <c r="H20" s="207">
        <f t="shared" si="1"/>
        <v>563.04924786371157</v>
      </c>
      <c r="I20" s="207">
        <f t="shared" si="1"/>
        <v>591.20171025689717</v>
      </c>
      <c r="J20" s="207">
        <f t="shared" si="1"/>
        <v>620.76179576974209</v>
      </c>
      <c r="K20" s="207">
        <f t="shared" si="1"/>
        <v>651.79988555822922</v>
      </c>
      <c r="L20" s="207">
        <f t="shared" si="1"/>
        <v>684.38987983614072</v>
      </c>
      <c r="M20" s="207">
        <f t="shared" si="1"/>
        <v>718.60937382794782</v>
      </c>
      <c r="N20" s="207">
        <f t="shared" si="1"/>
        <v>754.53984251934526</v>
      </c>
      <c r="O20" s="83"/>
      <c r="P20" s="83"/>
      <c r="Q20" s="84"/>
      <c r="R20" s="84"/>
      <c r="S20" s="84"/>
      <c r="T20" s="86"/>
      <c r="U20" s="85"/>
    </row>
    <row r="21" spans="1:21" s="87" customFormat="1" ht="30" customHeight="1">
      <c r="A21" s="290">
        <v>17</v>
      </c>
      <c r="B21" s="205" t="s">
        <v>30</v>
      </c>
      <c r="C21" s="206">
        <f>($A$200+$B$200)*'[33]نرخ تسهیم'!J19</f>
        <v>345.64115023450205</v>
      </c>
      <c r="D21" s="207">
        <f t="shared" si="1"/>
        <v>362.92320774622715</v>
      </c>
      <c r="E21" s="207">
        <f t="shared" si="1"/>
        <v>381.06936813353855</v>
      </c>
      <c r="F21" s="207">
        <f t="shared" si="1"/>
        <v>400.12283654021547</v>
      </c>
      <c r="G21" s="207">
        <f t="shared" si="1"/>
        <v>420.12897836722624</v>
      </c>
      <c r="H21" s="207">
        <f t="shared" si="1"/>
        <v>441.13542728558758</v>
      </c>
      <c r="I21" s="207">
        <f t="shared" si="1"/>
        <v>463.19219864986695</v>
      </c>
      <c r="J21" s="207">
        <f t="shared" si="1"/>
        <v>486.35180858236032</v>
      </c>
      <c r="K21" s="207">
        <f t="shared" si="1"/>
        <v>510.66939901147833</v>
      </c>
      <c r="L21" s="207">
        <f t="shared" si="1"/>
        <v>536.20286896205232</v>
      </c>
      <c r="M21" s="207">
        <f t="shared" si="1"/>
        <v>563.01301241015494</v>
      </c>
      <c r="N21" s="207">
        <f t="shared" si="1"/>
        <v>591.16366303066275</v>
      </c>
      <c r="O21" s="83"/>
      <c r="P21" s="83"/>
      <c r="Q21" s="84"/>
      <c r="R21" s="84"/>
      <c r="S21" s="84"/>
      <c r="T21" s="86"/>
      <c r="U21" s="85"/>
    </row>
    <row r="22" spans="1:21" s="87" customFormat="1" ht="30" customHeight="1">
      <c r="A22" s="290">
        <v>18</v>
      </c>
      <c r="B22" s="205" t="s">
        <v>31</v>
      </c>
      <c r="C22" s="206">
        <f>($A$200+$B$200)*'[33]نرخ تسهیم'!J20</f>
        <v>1597.4721994575411</v>
      </c>
      <c r="D22" s="207">
        <f t="shared" ref="D22:N36" si="2">C22*1.05</f>
        <v>1677.3458094304183</v>
      </c>
      <c r="E22" s="207">
        <f t="shared" si="2"/>
        <v>1761.2130999019394</v>
      </c>
      <c r="F22" s="207">
        <f t="shared" si="2"/>
        <v>1849.2737548970365</v>
      </c>
      <c r="G22" s="207">
        <f t="shared" si="2"/>
        <v>1941.7374426418885</v>
      </c>
      <c r="H22" s="207">
        <f t="shared" si="2"/>
        <v>2038.8243147739829</v>
      </c>
      <c r="I22" s="207">
        <f t="shared" si="2"/>
        <v>2140.7655305126823</v>
      </c>
      <c r="J22" s="207">
        <f t="shared" si="2"/>
        <v>2247.8038070383163</v>
      </c>
      <c r="K22" s="207">
        <f t="shared" si="2"/>
        <v>2360.1939973902322</v>
      </c>
      <c r="L22" s="207">
        <f t="shared" si="2"/>
        <v>2478.2036972597439</v>
      </c>
      <c r="M22" s="207">
        <f t="shared" si="2"/>
        <v>2602.113882122731</v>
      </c>
      <c r="N22" s="207">
        <f t="shared" si="2"/>
        <v>2732.2195762288675</v>
      </c>
      <c r="O22" s="83"/>
      <c r="P22" s="83"/>
      <c r="Q22" s="84"/>
      <c r="R22" s="84"/>
      <c r="S22" s="84"/>
      <c r="T22" s="86"/>
      <c r="U22" s="85"/>
    </row>
    <row r="23" spans="1:21" s="87" customFormat="1" ht="30" customHeight="1">
      <c r="A23" s="290">
        <v>19</v>
      </c>
      <c r="B23" s="205" t="s">
        <v>32</v>
      </c>
      <c r="C23" s="206">
        <f>($A$200+$B$200)*'[33]نرخ تسهیم'!J21</f>
        <v>605.97377291667942</v>
      </c>
      <c r="D23" s="207">
        <f t="shared" si="2"/>
        <v>636.2724615625134</v>
      </c>
      <c r="E23" s="207">
        <f t="shared" si="2"/>
        <v>668.08608464063911</v>
      </c>
      <c r="F23" s="207">
        <f t="shared" si="2"/>
        <v>701.49038887267113</v>
      </c>
      <c r="G23" s="207">
        <f t="shared" si="2"/>
        <v>736.5649083163047</v>
      </c>
      <c r="H23" s="207">
        <f t="shared" si="2"/>
        <v>773.39315373211991</v>
      </c>
      <c r="I23" s="207">
        <f t="shared" si="2"/>
        <v>812.06281141872591</v>
      </c>
      <c r="J23" s="207">
        <f t="shared" si="2"/>
        <v>852.66595198966229</v>
      </c>
      <c r="K23" s="207">
        <f t="shared" si="2"/>
        <v>895.29924958914546</v>
      </c>
      <c r="L23" s="207">
        <f t="shared" si="2"/>
        <v>940.06421206860273</v>
      </c>
      <c r="M23" s="207">
        <f t="shared" si="2"/>
        <v>987.06742267203288</v>
      </c>
      <c r="N23" s="207">
        <f t="shared" si="2"/>
        <v>1036.4207938056345</v>
      </c>
      <c r="O23" s="83"/>
      <c r="P23" s="83"/>
      <c r="Q23" s="84"/>
      <c r="R23" s="84"/>
      <c r="S23" s="84"/>
      <c r="T23" s="86"/>
      <c r="U23" s="85"/>
    </row>
    <row r="24" spans="1:21" s="87" customFormat="1" ht="30" customHeight="1">
      <c r="A24" s="290">
        <v>20</v>
      </c>
      <c r="B24" s="205" t="s">
        <v>33</v>
      </c>
      <c r="C24" s="206">
        <f>($A$200+$B$200)*'[33]نرخ تسهیم'!J22</f>
        <v>730.41952516185665</v>
      </c>
      <c r="D24" s="207">
        <f t="shared" si="2"/>
        <v>766.94050141994956</v>
      </c>
      <c r="E24" s="207">
        <f t="shared" si="2"/>
        <v>805.28752649094702</v>
      </c>
      <c r="F24" s="207">
        <f t="shared" si="2"/>
        <v>845.55190281549437</v>
      </c>
      <c r="G24" s="207">
        <f t="shared" si="2"/>
        <v>887.82949795626917</v>
      </c>
      <c r="H24" s="207">
        <f t="shared" si="2"/>
        <v>932.22097285408267</v>
      </c>
      <c r="I24" s="207">
        <f t="shared" si="2"/>
        <v>978.83202149678687</v>
      </c>
      <c r="J24" s="207">
        <f t="shared" si="2"/>
        <v>1027.7736225716262</v>
      </c>
      <c r="K24" s="207">
        <f t="shared" si="2"/>
        <v>1079.1623037002075</v>
      </c>
      <c r="L24" s="207">
        <f t="shared" si="2"/>
        <v>1133.120418885218</v>
      </c>
      <c r="M24" s="207">
        <f t="shared" si="2"/>
        <v>1189.7764398294789</v>
      </c>
      <c r="N24" s="207">
        <f t="shared" si="2"/>
        <v>1249.2652618209529</v>
      </c>
      <c r="O24" s="83"/>
      <c r="P24" s="83"/>
      <c r="Q24" s="84"/>
      <c r="R24" s="84"/>
      <c r="S24" s="84"/>
      <c r="T24" s="86"/>
      <c r="U24" s="85"/>
    </row>
    <row r="25" spans="1:21" s="87" customFormat="1" ht="30" customHeight="1">
      <c r="A25" s="290">
        <v>21</v>
      </c>
      <c r="B25" s="205" t="s">
        <v>34</v>
      </c>
      <c r="C25" s="206">
        <f>($A$200+$B$200)*'[33]نرخ تسهیم'!J23</f>
        <v>355.57847805438979</v>
      </c>
      <c r="D25" s="207">
        <f t="shared" si="2"/>
        <v>373.35740195710929</v>
      </c>
      <c r="E25" s="207">
        <f t="shared" si="2"/>
        <v>392.02527205496477</v>
      </c>
      <c r="F25" s="207">
        <f t="shared" si="2"/>
        <v>411.62653565771302</v>
      </c>
      <c r="G25" s="207">
        <f t="shared" si="2"/>
        <v>432.20786244059872</v>
      </c>
      <c r="H25" s="207">
        <f t="shared" si="2"/>
        <v>453.81825556262868</v>
      </c>
      <c r="I25" s="207">
        <f t="shared" si="2"/>
        <v>476.50916834076014</v>
      </c>
      <c r="J25" s="207">
        <f t="shared" si="2"/>
        <v>500.33462675779816</v>
      </c>
      <c r="K25" s="207">
        <f t="shared" si="2"/>
        <v>525.35135809568806</v>
      </c>
      <c r="L25" s="207">
        <f t="shared" si="2"/>
        <v>551.61892600047247</v>
      </c>
      <c r="M25" s="207">
        <f t="shared" si="2"/>
        <v>579.19987230049617</v>
      </c>
      <c r="N25" s="207">
        <f t="shared" si="2"/>
        <v>608.15986591552098</v>
      </c>
      <c r="O25" s="83"/>
      <c r="P25" s="83"/>
      <c r="Q25" s="84"/>
      <c r="R25" s="84"/>
      <c r="S25" s="84"/>
      <c r="T25" s="86"/>
      <c r="U25" s="85"/>
    </row>
    <row r="26" spans="1:21" s="87" customFormat="1" ht="30" customHeight="1">
      <c r="A26" s="290">
        <v>22</v>
      </c>
      <c r="B26" s="205" t="s">
        <v>35</v>
      </c>
      <c r="C26" s="206">
        <f>($A$200+$B$200)*'[33]نرخ تسهیم'!J24</f>
        <v>382.48428389711296</v>
      </c>
      <c r="D26" s="207">
        <f t="shared" si="2"/>
        <v>401.60849809196861</v>
      </c>
      <c r="E26" s="207">
        <f t="shared" si="2"/>
        <v>421.68892299656704</v>
      </c>
      <c r="F26" s="207">
        <f t="shared" si="2"/>
        <v>442.7733691463954</v>
      </c>
      <c r="G26" s="207">
        <f t="shared" si="2"/>
        <v>464.91203760371519</v>
      </c>
      <c r="H26" s="207">
        <f t="shared" si="2"/>
        <v>488.15763948390099</v>
      </c>
      <c r="I26" s="207">
        <f t="shared" si="2"/>
        <v>512.5655214580961</v>
      </c>
      <c r="J26" s="207">
        <f t="shared" si="2"/>
        <v>538.19379753100088</v>
      </c>
      <c r="K26" s="207">
        <f t="shared" si="2"/>
        <v>565.10348740755092</v>
      </c>
      <c r="L26" s="207">
        <f t="shared" si="2"/>
        <v>593.35866177792843</v>
      </c>
      <c r="M26" s="207">
        <f t="shared" si="2"/>
        <v>623.02659486682489</v>
      </c>
      <c r="N26" s="207">
        <f t="shared" si="2"/>
        <v>654.1779246101662</v>
      </c>
      <c r="O26" s="83"/>
      <c r="P26" s="83"/>
      <c r="Q26" s="84"/>
      <c r="R26" s="84"/>
      <c r="S26" s="84"/>
      <c r="T26" s="86"/>
      <c r="U26" s="85"/>
    </row>
    <row r="27" spans="1:21" s="87" customFormat="1" ht="30" customHeight="1">
      <c r="A27" s="290">
        <v>23</v>
      </c>
      <c r="B27" s="205" t="s">
        <v>36</v>
      </c>
      <c r="C27" s="206">
        <f>($A$200+$B$200)*'[33]نرخ تسهیم'!J25</f>
        <v>936.94605828120996</v>
      </c>
      <c r="D27" s="207">
        <f t="shared" si="2"/>
        <v>983.79336119527045</v>
      </c>
      <c r="E27" s="207">
        <f t="shared" si="2"/>
        <v>1032.9830292550341</v>
      </c>
      <c r="F27" s="207">
        <f t="shared" si="2"/>
        <v>1084.6321807177858</v>
      </c>
      <c r="G27" s="207">
        <f t="shared" si="2"/>
        <v>1138.8637897536751</v>
      </c>
      <c r="H27" s="207">
        <f t="shared" si="2"/>
        <v>1195.8069792413589</v>
      </c>
      <c r="I27" s="207">
        <f t="shared" si="2"/>
        <v>1255.597328203427</v>
      </c>
      <c r="J27" s="207">
        <f t="shared" si="2"/>
        <v>1318.3771946135985</v>
      </c>
      <c r="K27" s="207">
        <f t="shared" si="2"/>
        <v>1384.2960543442784</v>
      </c>
      <c r="L27" s="207">
        <f t="shared" si="2"/>
        <v>1453.5108570614925</v>
      </c>
      <c r="M27" s="207">
        <f t="shared" si="2"/>
        <v>1526.1863999145671</v>
      </c>
      <c r="N27" s="207">
        <f t="shared" si="2"/>
        <v>1602.4957199102955</v>
      </c>
      <c r="O27" s="83"/>
      <c r="P27" s="83"/>
      <c r="Q27" s="84"/>
      <c r="R27" s="84"/>
      <c r="S27" s="84"/>
      <c r="T27" s="86"/>
      <c r="U27" s="85"/>
    </row>
    <row r="28" spans="1:21" s="87" customFormat="1" ht="30" customHeight="1">
      <c r="A28" s="290">
        <v>24</v>
      </c>
      <c r="B28" s="205" t="s">
        <v>37</v>
      </c>
      <c r="C28" s="206">
        <f>($A$200+$B$200)*'[33]نرخ تسهیم'!J26</f>
        <v>215.20895658500328</v>
      </c>
      <c r="D28" s="207">
        <f t="shared" si="2"/>
        <v>225.96940441425346</v>
      </c>
      <c r="E28" s="207">
        <f t="shared" si="2"/>
        <v>237.26787463496615</v>
      </c>
      <c r="F28" s="207">
        <f t="shared" si="2"/>
        <v>249.13126836671447</v>
      </c>
      <c r="G28" s="207">
        <f t="shared" si="2"/>
        <v>261.58783178505018</v>
      </c>
      <c r="H28" s="207">
        <f t="shared" si="2"/>
        <v>274.66722337430269</v>
      </c>
      <c r="I28" s="207">
        <f t="shared" si="2"/>
        <v>288.40058454301783</v>
      </c>
      <c r="J28" s="207">
        <f t="shared" si="2"/>
        <v>302.82061377016873</v>
      </c>
      <c r="K28" s="207">
        <f t="shared" si="2"/>
        <v>317.9616444586772</v>
      </c>
      <c r="L28" s="207">
        <f t="shared" si="2"/>
        <v>333.85972668161105</v>
      </c>
      <c r="M28" s="207">
        <f t="shared" si="2"/>
        <v>350.55271301569161</v>
      </c>
      <c r="N28" s="207">
        <f t="shared" si="2"/>
        <v>368.0803486664762</v>
      </c>
      <c r="O28" s="83"/>
      <c r="P28" s="83"/>
      <c r="Q28" s="84"/>
      <c r="R28" s="84"/>
      <c r="S28" s="84"/>
      <c r="T28" s="86"/>
      <c r="U28" s="85"/>
    </row>
    <row r="29" spans="1:21" s="87" customFormat="1" ht="30" customHeight="1">
      <c r="A29" s="290">
        <v>25</v>
      </c>
      <c r="B29" s="205" t="s">
        <v>38</v>
      </c>
      <c r="C29" s="206">
        <f>($A$200+$B$200)*'[33]نرخ تسهیم'!J27</f>
        <v>1193.4707765403839</v>
      </c>
      <c r="D29" s="207">
        <f t="shared" si="2"/>
        <v>1253.1443153674031</v>
      </c>
      <c r="E29" s="207">
        <f t="shared" si="2"/>
        <v>1315.8015311357733</v>
      </c>
      <c r="F29" s="207">
        <f t="shared" si="2"/>
        <v>1381.5916076925621</v>
      </c>
      <c r="G29" s="207">
        <f t="shared" si="2"/>
        <v>1450.6711880771902</v>
      </c>
      <c r="H29" s="207">
        <f t="shared" si="2"/>
        <v>1523.2047474810497</v>
      </c>
      <c r="I29" s="207">
        <f t="shared" si="2"/>
        <v>1599.3649848551022</v>
      </c>
      <c r="J29" s="207">
        <f t="shared" si="2"/>
        <v>1679.3332340978575</v>
      </c>
      <c r="K29" s="207">
        <f t="shared" si="2"/>
        <v>1763.2998958027504</v>
      </c>
      <c r="L29" s="207">
        <f t="shared" si="2"/>
        <v>1851.464890592888</v>
      </c>
      <c r="M29" s="207">
        <f t="shared" si="2"/>
        <v>1944.0381351225324</v>
      </c>
      <c r="N29" s="207">
        <f t="shared" si="2"/>
        <v>2041.240041878659</v>
      </c>
      <c r="O29" s="83"/>
      <c r="P29" s="83"/>
      <c r="Q29" s="84"/>
      <c r="R29" s="84"/>
      <c r="S29" s="84"/>
      <c r="T29" s="86"/>
      <c r="U29" s="85"/>
    </row>
    <row r="30" spans="1:21" s="87" customFormat="1" ht="30" customHeight="1">
      <c r="A30" s="290">
        <v>26</v>
      </c>
      <c r="B30" s="205" t="s">
        <v>39</v>
      </c>
      <c r="C30" s="206">
        <f>($A$200+$B$200)*'[33]نرخ تسهیم'!J28</f>
        <v>769.4500597905319</v>
      </c>
      <c r="D30" s="207">
        <f t="shared" si="2"/>
        <v>807.92256278005857</v>
      </c>
      <c r="E30" s="207">
        <f t="shared" si="2"/>
        <v>848.31869091906151</v>
      </c>
      <c r="F30" s="207">
        <f t="shared" si="2"/>
        <v>890.73462546501457</v>
      </c>
      <c r="G30" s="207">
        <f t="shared" si="2"/>
        <v>935.27135673826535</v>
      </c>
      <c r="H30" s="207">
        <f t="shared" si="2"/>
        <v>982.03492457517871</v>
      </c>
      <c r="I30" s="207">
        <f t="shared" si="2"/>
        <v>1031.1366708039377</v>
      </c>
      <c r="J30" s="207">
        <f t="shared" si="2"/>
        <v>1082.6935043441347</v>
      </c>
      <c r="K30" s="207">
        <f t="shared" si="2"/>
        <v>1136.8281795613414</v>
      </c>
      <c r="L30" s="207">
        <f t="shared" si="2"/>
        <v>1193.6695885394086</v>
      </c>
      <c r="M30" s="207">
        <f t="shared" si="2"/>
        <v>1253.3530679663791</v>
      </c>
      <c r="N30" s="207">
        <f t="shared" si="2"/>
        <v>1316.0207213646981</v>
      </c>
      <c r="O30" s="83"/>
      <c r="P30" s="83"/>
      <c r="Q30" s="84"/>
      <c r="R30" s="84"/>
      <c r="S30" s="84"/>
      <c r="T30" s="86"/>
      <c r="U30" s="85"/>
    </row>
    <row r="31" spans="1:21" s="87" customFormat="1" ht="30" customHeight="1">
      <c r="A31" s="290">
        <v>27</v>
      </c>
      <c r="B31" s="205" t="s">
        <v>40</v>
      </c>
      <c r="C31" s="206">
        <f>($A$200+$B$200)*'[33]نرخ تسهیم'!J29</f>
        <v>1311.9929336582859</v>
      </c>
      <c r="D31" s="207">
        <f t="shared" si="2"/>
        <v>1377.5925803412003</v>
      </c>
      <c r="E31" s="207">
        <f t="shared" si="2"/>
        <v>1446.4722093582604</v>
      </c>
      <c r="F31" s="207">
        <f t="shared" si="2"/>
        <v>1518.7958198261736</v>
      </c>
      <c r="G31" s="207">
        <f t="shared" si="2"/>
        <v>1594.7356108174822</v>
      </c>
      <c r="H31" s="207">
        <f t="shared" si="2"/>
        <v>1674.4723913583564</v>
      </c>
      <c r="I31" s="207">
        <f t="shared" si="2"/>
        <v>1758.1960109262743</v>
      </c>
      <c r="J31" s="207">
        <f t="shared" si="2"/>
        <v>1846.1058114725881</v>
      </c>
      <c r="K31" s="207">
        <f t="shared" si="2"/>
        <v>1938.4111020462176</v>
      </c>
      <c r="L31" s="207">
        <f t="shared" si="2"/>
        <v>2035.3316571485286</v>
      </c>
      <c r="M31" s="207">
        <f t="shared" si="2"/>
        <v>2137.0982400059552</v>
      </c>
      <c r="N31" s="207">
        <f t="shared" si="2"/>
        <v>2243.9531520062528</v>
      </c>
      <c r="O31" s="83"/>
      <c r="P31" s="83"/>
      <c r="Q31" s="84"/>
      <c r="R31" s="84"/>
      <c r="S31" s="84"/>
      <c r="T31" s="86"/>
      <c r="U31" s="85"/>
    </row>
    <row r="32" spans="1:21" s="87" customFormat="1" ht="30" customHeight="1">
      <c r="A32" s="290">
        <v>28</v>
      </c>
      <c r="B32" s="205" t="s">
        <v>41</v>
      </c>
      <c r="C32" s="206">
        <f>($A$200+$B$200)*'[33]نرخ تسهیم'!J30</f>
        <v>1862.7763046178691</v>
      </c>
      <c r="D32" s="207">
        <f t="shared" si="2"/>
        <v>1955.9151198487625</v>
      </c>
      <c r="E32" s="207">
        <f t="shared" si="2"/>
        <v>2053.7108758412005</v>
      </c>
      <c r="F32" s="207">
        <f t="shared" si="2"/>
        <v>2156.3964196332608</v>
      </c>
      <c r="G32" s="207">
        <f t="shared" si="2"/>
        <v>2264.2162406149241</v>
      </c>
      <c r="H32" s="207">
        <f t="shared" si="2"/>
        <v>2377.4270526456703</v>
      </c>
      <c r="I32" s="207">
        <f t="shared" si="2"/>
        <v>2496.2984052779539</v>
      </c>
      <c r="J32" s="207">
        <f t="shared" si="2"/>
        <v>2621.1133255418517</v>
      </c>
      <c r="K32" s="207">
        <f t="shared" si="2"/>
        <v>2752.1689918189445</v>
      </c>
      <c r="L32" s="207">
        <f t="shared" si="2"/>
        <v>2889.7774414098917</v>
      </c>
      <c r="M32" s="207">
        <f t="shared" si="2"/>
        <v>3034.2663134803865</v>
      </c>
      <c r="N32" s="207">
        <f t="shared" si="2"/>
        <v>3185.9796291544062</v>
      </c>
      <c r="O32" s="83"/>
      <c r="P32" s="83"/>
      <c r="Q32" s="84"/>
      <c r="R32" s="84"/>
      <c r="S32" s="84"/>
      <c r="T32" s="86"/>
      <c r="U32" s="85"/>
    </row>
    <row r="33" spans="1:21" s="87" customFormat="1" ht="30" customHeight="1">
      <c r="A33" s="290">
        <v>29</v>
      </c>
      <c r="B33" s="205" t="s">
        <v>42</v>
      </c>
      <c r="C33" s="206">
        <f>($A$200+$B$200)*'[33]نرخ تسهیم'!J31</f>
        <v>759.19597600033546</v>
      </c>
      <c r="D33" s="207">
        <f t="shared" si="2"/>
        <v>797.15577480035222</v>
      </c>
      <c r="E33" s="207">
        <f t="shared" si="2"/>
        <v>837.01356354036989</v>
      </c>
      <c r="F33" s="207">
        <f t="shared" si="2"/>
        <v>878.86424171738838</v>
      </c>
      <c r="G33" s="207">
        <f t="shared" si="2"/>
        <v>922.80745380325789</v>
      </c>
      <c r="H33" s="207">
        <f t="shared" si="2"/>
        <v>968.94782649342085</v>
      </c>
      <c r="I33" s="207">
        <f t="shared" si="2"/>
        <v>1017.395217818092</v>
      </c>
      <c r="J33" s="207">
        <f t="shared" si="2"/>
        <v>1068.2649787089965</v>
      </c>
      <c r="K33" s="207">
        <f t="shared" si="2"/>
        <v>1121.6782276444465</v>
      </c>
      <c r="L33" s="207">
        <f t="shared" si="2"/>
        <v>1177.7621390266688</v>
      </c>
      <c r="M33" s="207">
        <f t="shared" si="2"/>
        <v>1236.6502459780022</v>
      </c>
      <c r="N33" s="207">
        <f t="shared" si="2"/>
        <v>1298.4827582769024</v>
      </c>
      <c r="O33" s="83"/>
      <c r="P33" s="83"/>
      <c r="Q33" s="84"/>
      <c r="R33" s="84"/>
      <c r="S33" s="84"/>
      <c r="T33" s="86"/>
      <c r="U33" s="85"/>
    </row>
    <row r="34" spans="1:21" s="87" customFormat="1" ht="30" customHeight="1">
      <c r="A34" s="290">
        <v>30</v>
      </c>
      <c r="B34" s="205" t="s">
        <v>43</v>
      </c>
      <c r="C34" s="206">
        <f>($A$200+$B$200)*'[33]نرخ تسهیم'!J32</f>
        <v>457.51064209538913</v>
      </c>
      <c r="D34" s="207">
        <f t="shared" si="2"/>
        <v>480.38617420015862</v>
      </c>
      <c r="E34" s="207">
        <f t="shared" si="2"/>
        <v>504.4054829101666</v>
      </c>
      <c r="F34" s="207">
        <f t="shared" si="2"/>
        <v>529.62575705567497</v>
      </c>
      <c r="G34" s="207">
        <f t="shared" si="2"/>
        <v>556.10704490845876</v>
      </c>
      <c r="H34" s="207">
        <f t="shared" si="2"/>
        <v>583.91239715388167</v>
      </c>
      <c r="I34" s="207">
        <f t="shared" si="2"/>
        <v>613.10801701157573</v>
      </c>
      <c r="J34" s="207">
        <f t="shared" si="2"/>
        <v>643.76341786215448</v>
      </c>
      <c r="K34" s="207">
        <f t="shared" si="2"/>
        <v>675.95158875526226</v>
      </c>
      <c r="L34" s="207">
        <f t="shared" si="2"/>
        <v>709.74916819302541</v>
      </c>
      <c r="M34" s="207">
        <f t="shared" si="2"/>
        <v>745.23662660267667</v>
      </c>
      <c r="N34" s="207">
        <f t="shared" si="2"/>
        <v>782.49845793281054</v>
      </c>
      <c r="O34" s="83"/>
      <c r="P34" s="83"/>
      <c r="Q34" s="84"/>
      <c r="R34" s="84"/>
      <c r="S34" s="84"/>
      <c r="T34" s="86"/>
      <c r="U34" s="85"/>
    </row>
    <row r="35" spans="1:21" s="87" customFormat="1" ht="30" customHeight="1">
      <c r="A35" s="290">
        <v>31</v>
      </c>
      <c r="B35" s="205" t="s">
        <v>44</v>
      </c>
      <c r="C35" s="206">
        <f>($A$200+$B$200)*'[33]نرخ تسهیم'!J33</f>
        <v>471.17507377480581</v>
      </c>
      <c r="D35" s="207">
        <f t="shared" si="2"/>
        <v>494.73382746354611</v>
      </c>
      <c r="E35" s="207">
        <f t="shared" si="2"/>
        <v>519.47051883672339</v>
      </c>
      <c r="F35" s="207">
        <f t="shared" si="2"/>
        <v>545.4440447785596</v>
      </c>
      <c r="G35" s="207">
        <f t="shared" si="2"/>
        <v>572.7162470174876</v>
      </c>
      <c r="H35" s="207">
        <f t="shared" si="2"/>
        <v>601.35205936836201</v>
      </c>
      <c r="I35" s="207">
        <f t="shared" si="2"/>
        <v>631.41966233678011</v>
      </c>
      <c r="J35" s="207">
        <f t="shared" si="2"/>
        <v>662.99064545361909</v>
      </c>
      <c r="K35" s="207">
        <f t="shared" si="2"/>
        <v>696.14017772630007</v>
      </c>
      <c r="L35" s="207">
        <f t="shared" si="2"/>
        <v>730.94718661261516</v>
      </c>
      <c r="M35" s="207">
        <f t="shared" si="2"/>
        <v>767.49454594324595</v>
      </c>
      <c r="N35" s="207">
        <f t="shared" si="2"/>
        <v>805.86927324040823</v>
      </c>
      <c r="O35" s="83"/>
      <c r="P35" s="83"/>
      <c r="Q35" s="84"/>
      <c r="R35" s="84"/>
      <c r="S35" s="84"/>
      <c r="T35" s="86"/>
      <c r="U35" s="85"/>
    </row>
    <row r="36" spans="1:21" s="87" customFormat="1" ht="30" customHeight="1">
      <c r="A36" s="290">
        <v>32</v>
      </c>
      <c r="B36" s="205" t="s">
        <v>45</v>
      </c>
      <c r="C36" s="206">
        <f>($A$200+$B$200)*'[33]نرخ تسهیم'!J34</f>
        <v>593.28678686640251</v>
      </c>
      <c r="D36" s="207">
        <f t="shared" si="2"/>
        <v>622.9511262097227</v>
      </c>
      <c r="E36" s="207">
        <f t="shared" si="2"/>
        <v>654.09868252020885</v>
      </c>
      <c r="F36" s="207">
        <f t="shared" si="2"/>
        <v>686.80361664621933</v>
      </c>
      <c r="G36" s="207">
        <f t="shared" si="2"/>
        <v>721.14379747853036</v>
      </c>
      <c r="H36" s="207">
        <f t="shared" si="2"/>
        <v>757.20098735245688</v>
      </c>
      <c r="I36" s="207">
        <f t="shared" si="2"/>
        <v>795.06103672007976</v>
      </c>
      <c r="J36" s="207">
        <f t="shared" si="2"/>
        <v>834.81408855608379</v>
      </c>
      <c r="K36" s="207">
        <f t="shared" si="2"/>
        <v>876.55479298388798</v>
      </c>
      <c r="L36" s="207">
        <f t="shared" si="2"/>
        <v>920.38253263308241</v>
      </c>
      <c r="M36" s="207">
        <f t="shared" si="2"/>
        <v>966.40165926473662</v>
      </c>
      <c r="N36" s="207">
        <f t="shared" si="2"/>
        <v>1014.7217422279736</v>
      </c>
      <c r="O36" s="83"/>
      <c r="P36" s="83"/>
      <c r="Q36" s="84"/>
      <c r="R36" s="84"/>
      <c r="S36" s="84"/>
      <c r="T36" s="86"/>
      <c r="U36" s="85"/>
    </row>
    <row r="37" spans="1:21" s="90" customFormat="1" ht="30" customHeight="1">
      <c r="A37" s="464" t="s">
        <v>107</v>
      </c>
      <c r="B37" s="464"/>
      <c r="C37" s="206">
        <f t="shared" ref="C37:N37" si="3">SUM(C5:C36)</f>
        <v>24280.670239999992</v>
      </c>
      <c r="D37" s="206">
        <f t="shared" si="3"/>
        <v>25494.703751999998</v>
      </c>
      <c r="E37" s="206">
        <f t="shared" si="3"/>
        <v>26769.438939599997</v>
      </c>
      <c r="F37" s="206">
        <f t="shared" si="3"/>
        <v>28107.91088657999</v>
      </c>
      <c r="G37" s="206">
        <f t="shared" si="3"/>
        <v>29513.306430909004</v>
      </c>
      <c r="H37" s="206">
        <f t="shared" si="3"/>
        <v>30988.971752454454</v>
      </c>
      <c r="I37" s="206">
        <f t="shared" si="3"/>
        <v>32538.420340077173</v>
      </c>
      <c r="J37" s="206">
        <f t="shared" si="3"/>
        <v>34165.341357081044</v>
      </c>
      <c r="K37" s="206">
        <f t="shared" si="3"/>
        <v>35873.60842493509</v>
      </c>
      <c r="L37" s="206">
        <f t="shared" si="3"/>
        <v>37667.288846181858</v>
      </c>
      <c r="M37" s="206">
        <f t="shared" si="3"/>
        <v>39550.653288490954</v>
      </c>
      <c r="N37" s="206">
        <f t="shared" si="3"/>
        <v>41528.18595291549</v>
      </c>
      <c r="O37" s="83"/>
      <c r="P37" s="83"/>
      <c r="Q37" s="84"/>
      <c r="R37" s="84"/>
      <c r="S37" s="84"/>
      <c r="T37" s="88"/>
      <c r="U37" s="89"/>
    </row>
    <row r="199" spans="1:20" s="33" customFormat="1" ht="35.1" customHeight="1">
      <c r="D199" s="80"/>
      <c r="E199" s="80"/>
      <c r="F199" s="80"/>
      <c r="G199" s="80"/>
      <c r="H199" s="80"/>
      <c r="I199" s="80"/>
      <c r="J199" s="80"/>
      <c r="K199" s="80"/>
      <c r="L199" s="80"/>
      <c r="M199" s="80"/>
      <c r="N199" s="81"/>
      <c r="O199" s="32"/>
      <c r="P199" s="32"/>
      <c r="Q199" s="32"/>
      <c r="R199" s="32"/>
      <c r="T199" s="34"/>
    </row>
    <row r="200" spans="1:20" s="47" customFormat="1" ht="35.1" hidden="1" customHeight="1">
      <c r="A200" s="47">
        <f>'[33]عملیات-فعالیت ها  '!$L$17</f>
        <v>24280.670239999999</v>
      </c>
      <c r="B200" s="47">
        <f>'[33]عملیات-فعالیت ها  '!$M$17</f>
        <v>0</v>
      </c>
      <c r="D200" s="48"/>
      <c r="E200" s="48"/>
      <c r="F200" s="48"/>
      <c r="G200" s="48"/>
      <c r="H200" s="48"/>
      <c r="I200" s="48"/>
      <c r="J200" s="48"/>
      <c r="K200" s="48"/>
      <c r="L200" s="48"/>
      <c r="M200" s="48"/>
      <c r="N200" s="49"/>
      <c r="O200" s="50"/>
      <c r="P200" s="50"/>
      <c r="Q200" s="50"/>
      <c r="R200" s="50"/>
      <c r="T200" s="51"/>
    </row>
    <row r="201" spans="1:20" s="33" customFormat="1" ht="35.1" customHeight="1">
      <c r="D201" s="80"/>
      <c r="E201" s="80"/>
      <c r="F201" s="80"/>
      <c r="G201" s="80"/>
      <c r="H201" s="80"/>
      <c r="I201" s="80"/>
      <c r="J201" s="80"/>
      <c r="K201" s="80"/>
      <c r="L201" s="80"/>
      <c r="M201" s="80"/>
      <c r="N201" s="81"/>
      <c r="O201" s="32"/>
      <c r="P201" s="32"/>
      <c r="Q201" s="32"/>
      <c r="R201" s="32"/>
      <c r="T201" s="34"/>
    </row>
  </sheetData>
  <mergeCells count="17">
    <mergeCell ref="A37:B37"/>
    <mergeCell ref="I3:I4"/>
    <mergeCell ref="J3:J4"/>
    <mergeCell ref="K3:K4"/>
    <mergeCell ref="L3:L4"/>
    <mergeCell ref="M3:M4"/>
    <mergeCell ref="N3:N4"/>
    <mergeCell ref="A1:N1"/>
    <mergeCell ref="A2:A4"/>
    <mergeCell ref="B2:B4"/>
    <mergeCell ref="C2:C4"/>
    <mergeCell ref="D2:D4"/>
    <mergeCell ref="E2:I2"/>
    <mergeCell ref="J2:N2"/>
    <mergeCell ref="E3:F3"/>
    <mergeCell ref="G3:G4"/>
    <mergeCell ref="H3:H4"/>
  </mergeCells>
  <pageMargins left="0.7" right="0.7" top="0.75" bottom="0.75" header="0.3" footer="0.3"/>
  <pageSetup paperSize="9" orientation="portrait" r:id="rId1"/>
  <drawing r:id="rId2"/>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268"/>
  <sheetViews>
    <sheetView showGridLines="0" rightToLeft="1" workbookViewId="0">
      <pane xSplit="25" topLeftCell="Z1" activePane="topRight" state="frozen"/>
      <selection pane="topRight" activeCell="L16" sqref="L16"/>
    </sheetView>
  </sheetViews>
  <sheetFormatPr defaultColWidth="28.6640625" defaultRowHeight="5.65" customHeight="1"/>
  <cols>
    <col min="1" max="1" width="9.33203125" style="3" customWidth="1"/>
    <col min="2" max="2" width="55.5" style="3" customWidth="1"/>
    <col min="3" max="3" width="9" style="125" customWidth="1"/>
    <col min="4" max="9" width="6.6640625" style="126" customWidth="1"/>
    <col min="10" max="12" width="12.5" style="3" customWidth="1"/>
    <col min="13" max="13" width="12.33203125" style="2" customWidth="1"/>
    <col min="14" max="18" width="10.1640625" style="29" hidden="1" customWidth="1"/>
    <col min="19" max="23" width="10.33203125" style="29" hidden="1" customWidth="1"/>
    <col min="24" max="25" width="10.1640625" style="30" hidden="1" customWidth="1"/>
    <col min="26" max="26" width="13.83203125" style="121" customWidth="1"/>
    <col min="27" max="27" width="28.6640625" style="2"/>
    <col min="28" max="16384" width="28.6640625" style="3"/>
  </cols>
  <sheetData>
    <row r="1" spans="1:27" ht="56.25" customHeight="1">
      <c r="A1" s="446" t="s">
        <v>386</v>
      </c>
      <c r="B1" s="446"/>
      <c r="C1" s="446"/>
      <c r="D1" s="446"/>
      <c r="E1" s="446"/>
      <c r="F1" s="446"/>
      <c r="G1" s="446"/>
      <c r="H1" s="446"/>
      <c r="I1" s="446"/>
      <c r="J1" s="446"/>
      <c r="K1" s="446"/>
      <c r="L1" s="446"/>
      <c r="M1" s="446"/>
    </row>
    <row r="2" spans="1:27" ht="33.75" customHeight="1">
      <c r="A2" s="262">
        <f>$M$18</f>
        <v>3</v>
      </c>
      <c r="B2" s="414" t="s">
        <v>134</v>
      </c>
      <c r="C2" s="383" t="s">
        <v>135</v>
      </c>
      <c r="D2" s="384" t="s">
        <v>136</v>
      </c>
      <c r="E2" s="384"/>
      <c r="F2" s="384"/>
      <c r="G2" s="384"/>
      <c r="H2" s="384" t="s">
        <v>137</v>
      </c>
      <c r="I2" s="384" t="s">
        <v>138</v>
      </c>
      <c r="J2" s="385" t="s">
        <v>139</v>
      </c>
      <c r="K2" s="385" t="s">
        <v>140</v>
      </c>
      <c r="L2" s="385" t="s">
        <v>141</v>
      </c>
      <c r="M2" s="386" t="s">
        <v>142</v>
      </c>
    </row>
    <row r="3" spans="1:27" ht="31.5" customHeight="1">
      <c r="A3" s="263" t="s">
        <v>0</v>
      </c>
      <c r="B3" s="415"/>
      <c r="C3" s="383"/>
      <c r="D3" s="208" t="s">
        <v>143</v>
      </c>
      <c r="E3" s="208" t="s">
        <v>144</v>
      </c>
      <c r="F3" s="208" t="s">
        <v>145</v>
      </c>
      <c r="G3" s="208" t="s">
        <v>146</v>
      </c>
      <c r="H3" s="384"/>
      <c r="I3" s="384"/>
      <c r="J3" s="385"/>
      <c r="K3" s="385"/>
      <c r="L3" s="385"/>
      <c r="M3" s="386"/>
      <c r="N3" s="29" t="s">
        <v>147</v>
      </c>
      <c r="O3" s="29" t="s">
        <v>148</v>
      </c>
      <c r="P3" s="29" t="s">
        <v>149</v>
      </c>
      <c r="Q3" s="29" t="s">
        <v>150</v>
      </c>
      <c r="R3" s="29" t="s">
        <v>147</v>
      </c>
      <c r="S3" s="29" t="s">
        <v>148</v>
      </c>
      <c r="T3" s="29" t="s">
        <v>149</v>
      </c>
      <c r="U3" s="29" t="s">
        <v>150</v>
      </c>
      <c r="V3" s="29" t="s">
        <v>164</v>
      </c>
      <c r="W3" s="29" t="s">
        <v>165</v>
      </c>
      <c r="X3" s="30" t="s">
        <v>153</v>
      </c>
      <c r="Y3" s="30" t="s">
        <v>154</v>
      </c>
    </row>
    <row r="4" spans="1:27" ht="54.95" customHeight="1">
      <c r="A4" s="209">
        <v>1</v>
      </c>
      <c r="B4" s="280" t="s">
        <v>387</v>
      </c>
      <c r="C4" s="211">
        <v>2.5</v>
      </c>
      <c r="D4" s="212">
        <v>0</v>
      </c>
      <c r="E4" s="212">
        <v>1</v>
      </c>
      <c r="F4" s="212">
        <v>1</v>
      </c>
      <c r="G4" s="212">
        <v>0</v>
      </c>
      <c r="H4" s="212">
        <v>4</v>
      </c>
      <c r="I4" s="212">
        <v>3</v>
      </c>
      <c r="J4" s="213">
        <v>0</v>
      </c>
      <c r="K4" s="213">
        <v>0</v>
      </c>
      <c r="L4" s="213">
        <f t="shared" ref="L4:L16" si="0">(((J4*C4)/$A$2)*D4)+(((J4*C4)/$A$2)*E4)+(((J4*C4)/$A$2)*F4)+(((J4*C4)/$A$2)*G4)</f>
        <v>0</v>
      </c>
      <c r="M4" s="214">
        <f t="shared" ref="M4:M16" si="1">(((K4*C4)/$A$2)*D4)+(((K4*C4)/$A$2)*E4)+(((K4*C4)/$A$2)*F4)+(((K4*C4)/$A$2)*G4)</f>
        <v>0</v>
      </c>
      <c r="N4" s="143">
        <f t="shared" ref="N4:N16" si="2">J4*D4*C4/$A$2</f>
        <v>0</v>
      </c>
      <c r="O4" s="143">
        <f t="shared" ref="O4:O16" si="3">J4*E4*C4/$A$2</f>
        <v>0</v>
      </c>
      <c r="P4" s="143">
        <f>J4*F4*C4/$A$2</f>
        <v>0</v>
      </c>
      <c r="Q4" s="143">
        <f t="shared" ref="Q4:Q16" si="4">J4*G4*C4/$A$2</f>
        <v>0</v>
      </c>
      <c r="R4" s="143">
        <f t="shared" ref="R4:R16" si="5">K4*D4*C4/$A$2</f>
        <v>0</v>
      </c>
      <c r="S4" s="143">
        <f t="shared" ref="S4:S16" si="6">K4*E4*C4/$A$2</f>
        <v>0</v>
      </c>
      <c r="T4" s="143">
        <f t="shared" ref="T4:T16" si="7">K4*F4*C4/$A$2</f>
        <v>0</v>
      </c>
      <c r="U4" s="143">
        <f t="shared" ref="U4:U16" si="8">K4*G4*C4/$A$2</f>
        <v>0</v>
      </c>
      <c r="V4" s="29">
        <f t="shared" ref="V4:V16" si="9">((L4/15)*((I4+H4)-2))</f>
        <v>0</v>
      </c>
      <c r="W4" s="29">
        <f t="shared" ref="W4:W16" si="10">((M4/15)*((I4+H4)-2))</f>
        <v>0</v>
      </c>
      <c r="X4" s="30">
        <f>L4*(V4/(V4-0.0000001))</f>
        <v>0</v>
      </c>
      <c r="Y4" s="30">
        <f>M4*(W4/(W4-0.0000001))</f>
        <v>0</v>
      </c>
      <c r="Z4" s="2"/>
      <c r="AA4" s="3"/>
    </row>
    <row r="5" spans="1:27" ht="54.95" customHeight="1">
      <c r="A5" s="209">
        <v>2</v>
      </c>
      <c r="B5" s="280" t="s">
        <v>388</v>
      </c>
      <c r="C5" s="211">
        <v>3.5</v>
      </c>
      <c r="D5" s="212">
        <v>0</v>
      </c>
      <c r="E5" s="212">
        <v>1</v>
      </c>
      <c r="F5" s="212">
        <v>1</v>
      </c>
      <c r="G5" s="212">
        <v>0</v>
      </c>
      <c r="H5" s="212">
        <v>5</v>
      </c>
      <c r="I5" s="212">
        <v>4</v>
      </c>
      <c r="J5" s="213">
        <v>0</v>
      </c>
      <c r="K5" s="213">
        <v>0</v>
      </c>
      <c r="L5" s="213">
        <f t="shared" si="0"/>
        <v>0</v>
      </c>
      <c r="M5" s="214">
        <f t="shared" si="1"/>
        <v>0</v>
      </c>
      <c r="N5" s="143">
        <f t="shared" si="2"/>
        <v>0</v>
      </c>
      <c r="O5" s="143">
        <f t="shared" si="3"/>
        <v>0</v>
      </c>
      <c r="P5" s="143">
        <f t="shared" ref="P5:P16" si="11">J5*F5*C5/$A$2</f>
        <v>0</v>
      </c>
      <c r="Q5" s="143">
        <f t="shared" si="4"/>
        <v>0</v>
      </c>
      <c r="R5" s="143">
        <f t="shared" si="5"/>
        <v>0</v>
      </c>
      <c r="S5" s="143">
        <f t="shared" si="6"/>
        <v>0</v>
      </c>
      <c r="T5" s="143">
        <f t="shared" si="7"/>
        <v>0</v>
      </c>
      <c r="U5" s="143">
        <f t="shared" si="8"/>
        <v>0</v>
      </c>
      <c r="V5" s="29">
        <f t="shared" si="9"/>
        <v>0</v>
      </c>
      <c r="W5" s="29">
        <f t="shared" si="10"/>
        <v>0</v>
      </c>
      <c r="X5" s="30">
        <f t="shared" ref="X5:Y16" si="12">L5*(V5/(V5-0.0000001))</f>
        <v>0</v>
      </c>
      <c r="Y5" s="30">
        <f t="shared" si="12"/>
        <v>0</v>
      </c>
      <c r="Z5" s="2"/>
      <c r="AA5" s="3"/>
    </row>
    <row r="6" spans="1:27" ht="54.95" customHeight="1">
      <c r="A6" s="209">
        <v>3</v>
      </c>
      <c r="B6" s="280" t="s">
        <v>389</v>
      </c>
      <c r="C6" s="211">
        <v>3</v>
      </c>
      <c r="D6" s="212">
        <v>0</v>
      </c>
      <c r="E6" s="212">
        <v>1</v>
      </c>
      <c r="F6" s="212">
        <v>1</v>
      </c>
      <c r="G6" s="212">
        <v>0</v>
      </c>
      <c r="H6" s="212">
        <v>5</v>
      </c>
      <c r="I6" s="212">
        <v>4</v>
      </c>
      <c r="J6" s="213">
        <v>0</v>
      </c>
      <c r="K6" s="213">
        <v>0</v>
      </c>
      <c r="L6" s="213">
        <f t="shared" si="0"/>
        <v>0</v>
      </c>
      <c r="M6" s="214">
        <f t="shared" si="1"/>
        <v>0</v>
      </c>
      <c r="N6" s="143">
        <f t="shared" si="2"/>
        <v>0</v>
      </c>
      <c r="O6" s="143">
        <f t="shared" si="3"/>
        <v>0</v>
      </c>
      <c r="P6" s="143">
        <f t="shared" si="11"/>
        <v>0</v>
      </c>
      <c r="Q6" s="143">
        <f t="shared" si="4"/>
        <v>0</v>
      </c>
      <c r="R6" s="143">
        <f t="shared" si="5"/>
        <v>0</v>
      </c>
      <c r="S6" s="143">
        <f t="shared" si="6"/>
        <v>0</v>
      </c>
      <c r="T6" s="143">
        <f t="shared" si="7"/>
        <v>0</v>
      </c>
      <c r="U6" s="143">
        <f t="shared" si="8"/>
        <v>0</v>
      </c>
      <c r="V6" s="29">
        <f t="shared" si="9"/>
        <v>0</v>
      </c>
      <c r="W6" s="29">
        <f t="shared" si="10"/>
        <v>0</v>
      </c>
      <c r="X6" s="30">
        <f t="shared" si="12"/>
        <v>0</v>
      </c>
      <c r="Y6" s="30">
        <f t="shared" si="12"/>
        <v>0</v>
      </c>
      <c r="Z6" s="2"/>
      <c r="AA6" s="3"/>
    </row>
    <row r="7" spans="1:27" ht="54.95" customHeight="1">
      <c r="A7" s="209">
        <v>4</v>
      </c>
      <c r="B7" s="280" t="s">
        <v>390</v>
      </c>
      <c r="C7" s="211">
        <v>3.5</v>
      </c>
      <c r="D7" s="212">
        <v>0</v>
      </c>
      <c r="E7" s="212">
        <v>1</v>
      </c>
      <c r="F7" s="212">
        <v>1</v>
      </c>
      <c r="G7" s="212">
        <v>0</v>
      </c>
      <c r="H7" s="212">
        <v>5</v>
      </c>
      <c r="I7" s="212">
        <v>4</v>
      </c>
      <c r="J7" s="213">
        <v>0</v>
      </c>
      <c r="K7" s="213">
        <v>0</v>
      </c>
      <c r="L7" s="213">
        <f t="shared" si="0"/>
        <v>0</v>
      </c>
      <c r="M7" s="214">
        <f t="shared" si="1"/>
        <v>0</v>
      </c>
      <c r="N7" s="143">
        <f t="shared" si="2"/>
        <v>0</v>
      </c>
      <c r="O7" s="143">
        <f t="shared" si="3"/>
        <v>0</v>
      </c>
      <c r="P7" s="143">
        <f t="shared" si="11"/>
        <v>0</v>
      </c>
      <c r="Q7" s="143">
        <f t="shared" si="4"/>
        <v>0</v>
      </c>
      <c r="R7" s="143">
        <f t="shared" si="5"/>
        <v>0</v>
      </c>
      <c r="S7" s="143">
        <f t="shared" si="6"/>
        <v>0</v>
      </c>
      <c r="T7" s="143">
        <f t="shared" si="7"/>
        <v>0</v>
      </c>
      <c r="U7" s="143">
        <f t="shared" si="8"/>
        <v>0</v>
      </c>
      <c r="V7" s="29">
        <f t="shared" si="9"/>
        <v>0</v>
      </c>
      <c r="W7" s="29">
        <f t="shared" si="10"/>
        <v>0</v>
      </c>
      <c r="X7" s="30">
        <f t="shared" si="12"/>
        <v>0</v>
      </c>
      <c r="Y7" s="30">
        <f t="shared" si="12"/>
        <v>0</v>
      </c>
      <c r="Z7" s="2"/>
      <c r="AA7" s="3"/>
    </row>
    <row r="8" spans="1:27" ht="54.95" customHeight="1">
      <c r="A8" s="209">
        <v>5</v>
      </c>
      <c r="B8" s="280" t="s">
        <v>391</v>
      </c>
      <c r="C8" s="211">
        <v>2</v>
      </c>
      <c r="D8" s="212">
        <v>0</v>
      </c>
      <c r="E8" s="212">
        <v>1</v>
      </c>
      <c r="F8" s="212">
        <v>0</v>
      </c>
      <c r="G8" s="212">
        <v>0</v>
      </c>
      <c r="H8" s="212">
        <v>1</v>
      </c>
      <c r="I8" s="212">
        <v>4</v>
      </c>
      <c r="J8" s="213">
        <v>0</v>
      </c>
      <c r="K8" s="213">
        <v>0</v>
      </c>
      <c r="L8" s="213">
        <f t="shared" si="0"/>
        <v>0</v>
      </c>
      <c r="M8" s="214">
        <f t="shared" si="1"/>
        <v>0</v>
      </c>
      <c r="N8" s="143">
        <f t="shared" si="2"/>
        <v>0</v>
      </c>
      <c r="O8" s="143">
        <f t="shared" si="3"/>
        <v>0</v>
      </c>
      <c r="P8" s="143">
        <f t="shared" si="11"/>
        <v>0</v>
      </c>
      <c r="Q8" s="143">
        <f t="shared" si="4"/>
        <v>0</v>
      </c>
      <c r="R8" s="143">
        <f t="shared" si="5"/>
        <v>0</v>
      </c>
      <c r="S8" s="143">
        <f t="shared" si="6"/>
        <v>0</v>
      </c>
      <c r="T8" s="143">
        <f t="shared" si="7"/>
        <v>0</v>
      </c>
      <c r="U8" s="143">
        <f t="shared" si="8"/>
        <v>0</v>
      </c>
      <c r="V8" s="29">
        <f t="shared" si="9"/>
        <v>0</v>
      </c>
      <c r="W8" s="29">
        <f t="shared" si="10"/>
        <v>0</v>
      </c>
      <c r="X8" s="30">
        <f t="shared" si="12"/>
        <v>0</v>
      </c>
      <c r="Y8" s="30">
        <f t="shared" si="12"/>
        <v>0</v>
      </c>
      <c r="Z8" s="2"/>
      <c r="AA8" s="3"/>
    </row>
    <row r="9" spans="1:27" ht="54.95" customHeight="1">
      <c r="A9" s="209">
        <v>6</v>
      </c>
      <c r="B9" s="280" t="s">
        <v>392</v>
      </c>
      <c r="C9" s="211">
        <v>0.4</v>
      </c>
      <c r="D9" s="212">
        <v>0</v>
      </c>
      <c r="E9" s="212">
        <v>1</v>
      </c>
      <c r="F9" s="212">
        <v>1</v>
      </c>
      <c r="G9" s="212">
        <v>0</v>
      </c>
      <c r="H9" s="212">
        <v>1</v>
      </c>
      <c r="I9" s="212">
        <v>1</v>
      </c>
      <c r="J9" s="213">
        <v>0</v>
      </c>
      <c r="K9" s="213">
        <v>0</v>
      </c>
      <c r="L9" s="213">
        <f t="shared" si="0"/>
        <v>0</v>
      </c>
      <c r="M9" s="214">
        <f t="shared" si="1"/>
        <v>0</v>
      </c>
      <c r="N9" s="143">
        <f t="shared" si="2"/>
        <v>0</v>
      </c>
      <c r="O9" s="143">
        <f t="shared" si="3"/>
        <v>0</v>
      </c>
      <c r="P9" s="143">
        <f t="shared" si="11"/>
        <v>0</v>
      </c>
      <c r="Q9" s="143">
        <f t="shared" si="4"/>
        <v>0</v>
      </c>
      <c r="R9" s="143">
        <f t="shared" si="5"/>
        <v>0</v>
      </c>
      <c r="S9" s="143">
        <f t="shared" si="6"/>
        <v>0</v>
      </c>
      <c r="T9" s="143">
        <f t="shared" si="7"/>
        <v>0</v>
      </c>
      <c r="U9" s="143">
        <f t="shared" si="8"/>
        <v>0</v>
      </c>
      <c r="V9" s="29">
        <f t="shared" si="9"/>
        <v>0</v>
      </c>
      <c r="W9" s="29">
        <f t="shared" si="10"/>
        <v>0</v>
      </c>
      <c r="X9" s="30">
        <f t="shared" si="12"/>
        <v>0</v>
      </c>
      <c r="Y9" s="30">
        <f t="shared" si="12"/>
        <v>0</v>
      </c>
      <c r="Z9" s="2"/>
      <c r="AA9" s="3"/>
    </row>
    <row r="10" spans="1:27" ht="54.95" customHeight="1">
      <c r="A10" s="209">
        <v>7</v>
      </c>
      <c r="B10" s="280" t="s">
        <v>393</v>
      </c>
      <c r="C10" s="211">
        <v>0.6</v>
      </c>
      <c r="D10" s="212">
        <v>0</v>
      </c>
      <c r="E10" s="212">
        <v>1</v>
      </c>
      <c r="F10" s="212">
        <v>1</v>
      </c>
      <c r="G10" s="212">
        <v>0</v>
      </c>
      <c r="H10" s="212">
        <v>1</v>
      </c>
      <c r="I10" s="212">
        <v>1</v>
      </c>
      <c r="J10" s="213">
        <v>0</v>
      </c>
      <c r="K10" s="213">
        <v>0</v>
      </c>
      <c r="L10" s="213">
        <f t="shared" si="0"/>
        <v>0</v>
      </c>
      <c r="M10" s="214">
        <f t="shared" si="1"/>
        <v>0</v>
      </c>
      <c r="N10" s="143">
        <f t="shared" si="2"/>
        <v>0</v>
      </c>
      <c r="O10" s="143">
        <f t="shared" si="3"/>
        <v>0</v>
      </c>
      <c r="P10" s="143">
        <f t="shared" si="11"/>
        <v>0</v>
      </c>
      <c r="Q10" s="143">
        <f t="shared" si="4"/>
        <v>0</v>
      </c>
      <c r="R10" s="143">
        <f t="shared" si="5"/>
        <v>0</v>
      </c>
      <c r="S10" s="143">
        <f t="shared" si="6"/>
        <v>0</v>
      </c>
      <c r="T10" s="143">
        <f t="shared" si="7"/>
        <v>0</v>
      </c>
      <c r="U10" s="143">
        <f t="shared" si="8"/>
        <v>0</v>
      </c>
      <c r="V10" s="29">
        <f t="shared" si="9"/>
        <v>0</v>
      </c>
      <c r="W10" s="29">
        <f t="shared" si="10"/>
        <v>0</v>
      </c>
      <c r="X10" s="30">
        <f t="shared" si="12"/>
        <v>0</v>
      </c>
      <c r="Y10" s="30">
        <f t="shared" si="12"/>
        <v>0</v>
      </c>
      <c r="Z10" s="2"/>
      <c r="AA10" s="3"/>
    </row>
    <row r="11" spans="1:27" ht="54.95" customHeight="1">
      <c r="A11" s="209">
        <v>8</v>
      </c>
      <c r="B11" s="280" t="s">
        <v>394</v>
      </c>
      <c r="C11" s="211">
        <v>0.5</v>
      </c>
      <c r="D11" s="212">
        <v>0</v>
      </c>
      <c r="E11" s="212">
        <v>1</v>
      </c>
      <c r="F11" s="212">
        <v>1</v>
      </c>
      <c r="G11" s="212">
        <v>0</v>
      </c>
      <c r="H11" s="212">
        <v>1</v>
      </c>
      <c r="I11" s="212">
        <v>4</v>
      </c>
      <c r="J11" s="213">
        <v>0</v>
      </c>
      <c r="K11" s="213">
        <v>0</v>
      </c>
      <c r="L11" s="213">
        <f t="shared" si="0"/>
        <v>0</v>
      </c>
      <c r="M11" s="214">
        <f t="shared" si="1"/>
        <v>0</v>
      </c>
      <c r="N11" s="143">
        <f t="shared" si="2"/>
        <v>0</v>
      </c>
      <c r="O11" s="143">
        <f t="shared" si="3"/>
        <v>0</v>
      </c>
      <c r="P11" s="143">
        <f t="shared" si="11"/>
        <v>0</v>
      </c>
      <c r="Q11" s="143">
        <f t="shared" si="4"/>
        <v>0</v>
      </c>
      <c r="R11" s="143">
        <f t="shared" si="5"/>
        <v>0</v>
      </c>
      <c r="S11" s="143">
        <f t="shared" si="6"/>
        <v>0</v>
      </c>
      <c r="T11" s="143">
        <f t="shared" si="7"/>
        <v>0</v>
      </c>
      <c r="U11" s="143">
        <f t="shared" si="8"/>
        <v>0</v>
      </c>
      <c r="V11" s="29">
        <f t="shared" si="9"/>
        <v>0</v>
      </c>
      <c r="W11" s="29">
        <f t="shared" si="10"/>
        <v>0</v>
      </c>
      <c r="X11" s="30">
        <f t="shared" si="12"/>
        <v>0</v>
      </c>
      <c r="Y11" s="30">
        <f t="shared" si="12"/>
        <v>0</v>
      </c>
      <c r="Z11" s="2"/>
      <c r="AA11" s="3"/>
    </row>
    <row r="12" spans="1:27" ht="54.95" customHeight="1">
      <c r="A12" s="209">
        <v>9</v>
      </c>
      <c r="B12" s="280" t="s">
        <v>395</v>
      </c>
      <c r="C12" s="211">
        <v>0.6</v>
      </c>
      <c r="D12" s="212">
        <v>0</v>
      </c>
      <c r="E12" s="212">
        <v>1</v>
      </c>
      <c r="F12" s="212">
        <v>1</v>
      </c>
      <c r="G12" s="212">
        <v>0</v>
      </c>
      <c r="H12" s="212">
        <v>1</v>
      </c>
      <c r="I12" s="212">
        <v>1</v>
      </c>
      <c r="J12" s="213">
        <v>0</v>
      </c>
      <c r="K12" s="213">
        <v>0</v>
      </c>
      <c r="L12" s="213">
        <f t="shared" si="0"/>
        <v>0</v>
      </c>
      <c r="M12" s="214">
        <f t="shared" si="1"/>
        <v>0</v>
      </c>
      <c r="N12" s="143">
        <f t="shared" si="2"/>
        <v>0</v>
      </c>
      <c r="O12" s="143">
        <f t="shared" si="3"/>
        <v>0</v>
      </c>
      <c r="P12" s="143">
        <f t="shared" si="11"/>
        <v>0</v>
      </c>
      <c r="Q12" s="143">
        <f t="shared" si="4"/>
        <v>0</v>
      </c>
      <c r="R12" s="143">
        <f t="shared" si="5"/>
        <v>0</v>
      </c>
      <c r="S12" s="143">
        <f t="shared" si="6"/>
        <v>0</v>
      </c>
      <c r="T12" s="143">
        <f t="shared" si="7"/>
        <v>0</v>
      </c>
      <c r="U12" s="143">
        <f t="shared" si="8"/>
        <v>0</v>
      </c>
      <c r="V12" s="29">
        <f t="shared" si="9"/>
        <v>0</v>
      </c>
      <c r="W12" s="29">
        <f t="shared" si="10"/>
        <v>0</v>
      </c>
      <c r="X12" s="30">
        <f t="shared" si="12"/>
        <v>0</v>
      </c>
      <c r="Y12" s="30">
        <f t="shared" si="12"/>
        <v>0</v>
      </c>
      <c r="Z12" s="2"/>
      <c r="AA12" s="3"/>
    </row>
    <row r="13" spans="1:27" s="130" customFormat="1" ht="54.95" customHeight="1">
      <c r="A13" s="209">
        <v>10</v>
      </c>
      <c r="B13" s="280" t="s">
        <v>245</v>
      </c>
      <c r="C13" s="211">
        <v>1.1999999999999999E-3</v>
      </c>
      <c r="D13" s="212">
        <v>0</v>
      </c>
      <c r="E13" s="212">
        <v>0</v>
      </c>
      <c r="F13" s="212">
        <v>0</v>
      </c>
      <c r="G13" s="212">
        <v>1</v>
      </c>
      <c r="H13" s="212">
        <v>1</v>
      </c>
      <c r="I13" s="212">
        <v>4</v>
      </c>
      <c r="J13" s="213">
        <v>0</v>
      </c>
      <c r="K13" s="213">
        <v>0</v>
      </c>
      <c r="L13" s="213">
        <f t="shared" si="0"/>
        <v>0</v>
      </c>
      <c r="M13" s="214">
        <f t="shared" si="1"/>
        <v>0</v>
      </c>
      <c r="N13" s="143">
        <f t="shared" si="2"/>
        <v>0</v>
      </c>
      <c r="O13" s="143">
        <f t="shared" si="3"/>
        <v>0</v>
      </c>
      <c r="P13" s="143">
        <f t="shared" si="11"/>
        <v>0</v>
      </c>
      <c r="Q13" s="143">
        <f t="shared" si="4"/>
        <v>0</v>
      </c>
      <c r="R13" s="143">
        <f t="shared" si="5"/>
        <v>0</v>
      </c>
      <c r="S13" s="143">
        <f t="shared" si="6"/>
        <v>0</v>
      </c>
      <c r="T13" s="143">
        <f t="shared" si="7"/>
        <v>0</v>
      </c>
      <c r="U13" s="143">
        <f t="shared" si="8"/>
        <v>0</v>
      </c>
      <c r="V13" s="29">
        <f t="shared" si="9"/>
        <v>0</v>
      </c>
      <c r="W13" s="29">
        <f t="shared" si="10"/>
        <v>0</v>
      </c>
      <c r="X13" s="30">
        <f t="shared" si="12"/>
        <v>0</v>
      </c>
      <c r="Y13" s="30">
        <f t="shared" si="12"/>
        <v>0</v>
      </c>
    </row>
    <row r="14" spans="1:27" s="130" customFormat="1" ht="54.95" customHeight="1">
      <c r="A14" s="209">
        <v>11</v>
      </c>
      <c r="B14" s="280" t="s">
        <v>246</v>
      </c>
      <c r="C14" s="211">
        <v>6.0000000000000001E-3</v>
      </c>
      <c r="D14" s="212">
        <v>0</v>
      </c>
      <c r="E14" s="212">
        <v>0</v>
      </c>
      <c r="F14" s="212">
        <v>0</v>
      </c>
      <c r="G14" s="212">
        <v>1</v>
      </c>
      <c r="H14" s="212">
        <v>1</v>
      </c>
      <c r="I14" s="212">
        <v>4</v>
      </c>
      <c r="J14" s="213">
        <v>0</v>
      </c>
      <c r="K14" s="213">
        <v>0</v>
      </c>
      <c r="L14" s="213">
        <f t="shared" si="0"/>
        <v>0</v>
      </c>
      <c r="M14" s="214">
        <f t="shared" si="1"/>
        <v>0</v>
      </c>
      <c r="N14" s="143">
        <f t="shared" si="2"/>
        <v>0</v>
      </c>
      <c r="O14" s="143">
        <f t="shared" si="3"/>
        <v>0</v>
      </c>
      <c r="P14" s="143">
        <f t="shared" si="11"/>
        <v>0</v>
      </c>
      <c r="Q14" s="143">
        <f t="shared" si="4"/>
        <v>0</v>
      </c>
      <c r="R14" s="143">
        <f t="shared" si="5"/>
        <v>0</v>
      </c>
      <c r="S14" s="143">
        <f t="shared" si="6"/>
        <v>0</v>
      </c>
      <c r="T14" s="143">
        <f t="shared" si="7"/>
        <v>0</v>
      </c>
      <c r="U14" s="143">
        <f t="shared" si="8"/>
        <v>0</v>
      </c>
      <c r="V14" s="29">
        <f t="shared" si="9"/>
        <v>0</v>
      </c>
      <c r="W14" s="29">
        <f t="shared" si="10"/>
        <v>0</v>
      </c>
      <c r="X14" s="30">
        <f t="shared" si="12"/>
        <v>0</v>
      </c>
      <c r="Y14" s="30">
        <f t="shared" si="12"/>
        <v>0</v>
      </c>
    </row>
    <row r="15" spans="1:27" s="130" customFormat="1" ht="54.95" customHeight="1">
      <c r="A15" s="209">
        <v>12</v>
      </c>
      <c r="B15" s="280" t="s">
        <v>247</v>
      </c>
      <c r="C15" s="211">
        <v>8.0000000000000002E-3</v>
      </c>
      <c r="D15" s="212">
        <v>0</v>
      </c>
      <c r="E15" s="212">
        <v>0</v>
      </c>
      <c r="F15" s="212">
        <v>0</v>
      </c>
      <c r="G15" s="212">
        <v>1</v>
      </c>
      <c r="H15" s="212">
        <v>1</v>
      </c>
      <c r="I15" s="212">
        <v>4</v>
      </c>
      <c r="J15" s="213">
        <v>0</v>
      </c>
      <c r="K15" s="213">
        <v>0</v>
      </c>
      <c r="L15" s="213">
        <f t="shared" si="0"/>
        <v>0</v>
      </c>
      <c r="M15" s="214">
        <f t="shared" si="1"/>
        <v>0</v>
      </c>
      <c r="N15" s="143">
        <f t="shared" si="2"/>
        <v>0</v>
      </c>
      <c r="O15" s="143">
        <f t="shared" si="3"/>
        <v>0</v>
      </c>
      <c r="P15" s="143">
        <f t="shared" si="11"/>
        <v>0</v>
      </c>
      <c r="Q15" s="143">
        <f t="shared" si="4"/>
        <v>0</v>
      </c>
      <c r="R15" s="143">
        <f t="shared" si="5"/>
        <v>0</v>
      </c>
      <c r="S15" s="143">
        <f t="shared" si="6"/>
        <v>0</v>
      </c>
      <c r="T15" s="143">
        <f t="shared" si="7"/>
        <v>0</v>
      </c>
      <c r="U15" s="143">
        <f t="shared" si="8"/>
        <v>0</v>
      </c>
      <c r="V15" s="29">
        <f t="shared" si="9"/>
        <v>0</v>
      </c>
      <c r="W15" s="29">
        <f t="shared" si="10"/>
        <v>0</v>
      </c>
      <c r="X15" s="30">
        <f t="shared" si="12"/>
        <v>0</v>
      </c>
      <c r="Y15" s="30">
        <f t="shared" si="12"/>
        <v>0</v>
      </c>
    </row>
    <row r="16" spans="1:27" s="131" customFormat="1" ht="54.95" customHeight="1">
      <c r="A16" s="209">
        <v>13</v>
      </c>
      <c r="B16" s="280" t="s">
        <v>396</v>
      </c>
      <c r="C16" s="211">
        <v>40</v>
      </c>
      <c r="D16" s="212">
        <v>0</v>
      </c>
      <c r="E16" s="212">
        <v>1</v>
      </c>
      <c r="F16" s="212">
        <v>0</v>
      </c>
      <c r="G16" s="212">
        <v>0</v>
      </c>
      <c r="H16" s="212">
        <v>1</v>
      </c>
      <c r="I16" s="212">
        <v>1</v>
      </c>
      <c r="J16" s="213">
        <v>0</v>
      </c>
      <c r="K16" s="213">
        <v>0</v>
      </c>
      <c r="L16" s="213">
        <f t="shared" si="0"/>
        <v>0</v>
      </c>
      <c r="M16" s="214">
        <f t="shared" si="1"/>
        <v>0</v>
      </c>
      <c r="N16" s="143">
        <f t="shared" si="2"/>
        <v>0</v>
      </c>
      <c r="O16" s="143">
        <f t="shared" si="3"/>
        <v>0</v>
      </c>
      <c r="P16" s="143">
        <f t="shared" si="11"/>
        <v>0</v>
      </c>
      <c r="Q16" s="143">
        <f t="shared" si="4"/>
        <v>0</v>
      </c>
      <c r="R16" s="143">
        <f t="shared" si="5"/>
        <v>0</v>
      </c>
      <c r="S16" s="143">
        <f t="shared" si="6"/>
        <v>0</v>
      </c>
      <c r="T16" s="143">
        <f t="shared" si="7"/>
        <v>0</v>
      </c>
      <c r="U16" s="143">
        <f t="shared" si="8"/>
        <v>0</v>
      </c>
      <c r="V16" s="29">
        <f t="shared" si="9"/>
        <v>0</v>
      </c>
      <c r="W16" s="29">
        <f t="shared" si="10"/>
        <v>0</v>
      </c>
      <c r="X16" s="30">
        <f t="shared" si="12"/>
        <v>0</v>
      </c>
      <c r="Y16" s="30">
        <f t="shared" si="12"/>
        <v>0</v>
      </c>
      <c r="Z16" s="130"/>
      <c r="AA16" s="130"/>
    </row>
    <row r="17" spans="1:26" s="2" customFormat="1" ht="54.95" customHeight="1">
      <c r="A17" s="377" t="s">
        <v>158</v>
      </c>
      <c r="B17" s="377"/>
      <c r="C17" s="378" t="s">
        <v>397</v>
      </c>
      <c r="D17" s="378"/>
      <c r="E17" s="378"/>
      <c r="F17" s="378"/>
      <c r="G17" s="378"/>
      <c r="H17" s="378"/>
      <c r="I17" s="378"/>
      <c r="J17" s="378"/>
      <c r="K17" s="378"/>
      <c r="L17" s="239">
        <f>SUM(L4:L16)</f>
        <v>0</v>
      </c>
      <c r="M17" s="215">
        <f>SUM(M4:M16)</f>
        <v>0</v>
      </c>
      <c r="N17" s="127">
        <f>SUM(N4:N16)</f>
        <v>0</v>
      </c>
      <c r="O17" s="127">
        <f t="shared" ref="O17:Y17" si="13">SUM(O4:O16)</f>
        <v>0</v>
      </c>
      <c r="P17" s="127">
        <f t="shared" si="13"/>
        <v>0</v>
      </c>
      <c r="Q17" s="127">
        <f t="shared" si="13"/>
        <v>0</v>
      </c>
      <c r="R17" s="127">
        <f t="shared" si="13"/>
        <v>0</v>
      </c>
      <c r="S17" s="127">
        <f t="shared" si="13"/>
        <v>0</v>
      </c>
      <c r="T17" s="127">
        <f t="shared" si="13"/>
        <v>0</v>
      </c>
      <c r="U17" s="127">
        <f t="shared" si="13"/>
        <v>0</v>
      </c>
      <c r="V17" s="127">
        <f t="shared" si="13"/>
        <v>0</v>
      </c>
      <c r="W17" s="127">
        <f t="shared" si="13"/>
        <v>0</v>
      </c>
      <c r="X17" s="127">
        <f t="shared" si="13"/>
        <v>0</v>
      </c>
      <c r="Y17" s="127">
        <f t="shared" si="13"/>
        <v>0</v>
      </c>
    </row>
    <row r="18" spans="1:26" s="2" customFormat="1" ht="54.95" customHeight="1">
      <c r="A18" s="379" t="s">
        <v>160</v>
      </c>
      <c r="B18" s="379"/>
      <c r="C18" s="379"/>
      <c r="D18" s="379"/>
      <c r="E18" s="379"/>
      <c r="F18" s="379"/>
      <c r="G18" s="379"/>
      <c r="H18" s="379"/>
      <c r="I18" s="379"/>
      <c r="J18" s="379"/>
      <c r="K18" s="379"/>
      <c r="L18" s="379"/>
      <c r="M18" s="306">
        <v>3</v>
      </c>
      <c r="N18" s="29"/>
      <c r="O18" s="29"/>
      <c r="P18" s="29"/>
      <c r="Q18" s="29"/>
      <c r="R18" s="29"/>
      <c r="S18" s="29"/>
      <c r="T18" s="29"/>
      <c r="U18" s="29"/>
      <c r="V18" s="29"/>
      <c r="W18" s="29"/>
      <c r="X18" s="30"/>
      <c r="Y18" s="30"/>
      <c r="Z18" s="124"/>
    </row>
    <row r="19" spans="1:26" s="2" customFormat="1" ht="54.95" customHeight="1">
      <c r="A19" s="3"/>
      <c r="B19" s="3"/>
      <c r="C19" s="125"/>
      <c r="D19" s="126"/>
      <c r="E19" s="126"/>
      <c r="F19" s="126"/>
      <c r="G19" s="126"/>
      <c r="H19" s="126"/>
      <c r="I19" s="126"/>
      <c r="J19" s="3"/>
      <c r="K19" s="3"/>
      <c r="L19" s="3"/>
      <c r="N19" s="29"/>
      <c r="O19" s="29"/>
      <c r="P19" s="29"/>
      <c r="Q19" s="29"/>
      <c r="R19" s="29"/>
      <c r="S19" s="29"/>
      <c r="T19" s="29"/>
      <c r="U19" s="29"/>
      <c r="V19" s="29"/>
      <c r="W19" s="29"/>
      <c r="X19" s="30"/>
      <c r="Y19" s="30"/>
      <c r="Z19" s="121"/>
    </row>
    <row r="20" spans="1:26" s="2" customFormat="1" ht="54.95" customHeight="1">
      <c r="A20" s="3"/>
      <c r="B20" s="3"/>
      <c r="C20" s="125"/>
      <c r="D20" s="126"/>
      <c r="E20" s="126"/>
      <c r="F20" s="126"/>
      <c r="G20" s="126"/>
      <c r="H20" s="126"/>
      <c r="I20" s="126"/>
      <c r="J20" s="3"/>
      <c r="K20" s="3"/>
      <c r="L20" s="3"/>
      <c r="N20" s="29"/>
      <c r="O20" s="29"/>
      <c r="P20" s="29"/>
      <c r="Q20" s="29"/>
      <c r="R20" s="29"/>
      <c r="S20" s="29"/>
      <c r="T20" s="29"/>
      <c r="U20" s="29"/>
      <c r="V20" s="29"/>
      <c r="W20" s="29"/>
      <c r="X20" s="30"/>
      <c r="Y20" s="30"/>
      <c r="Z20" s="121"/>
    </row>
    <row r="21" spans="1:26" s="2" customFormat="1" ht="54.95" customHeight="1">
      <c r="A21" s="3"/>
      <c r="B21" s="3"/>
      <c r="C21" s="125"/>
      <c r="D21" s="126"/>
      <c r="E21" s="126"/>
      <c r="F21" s="126"/>
      <c r="G21" s="126"/>
      <c r="H21" s="126"/>
      <c r="I21" s="126"/>
      <c r="J21" s="3"/>
      <c r="K21" s="3"/>
      <c r="L21" s="3"/>
      <c r="N21" s="29"/>
      <c r="O21" s="29"/>
      <c r="P21" s="29"/>
      <c r="Q21" s="29"/>
      <c r="R21" s="29"/>
      <c r="S21" s="29"/>
      <c r="T21" s="29"/>
      <c r="U21" s="29"/>
      <c r="V21" s="29"/>
      <c r="W21" s="29"/>
      <c r="X21" s="30"/>
      <c r="Y21" s="30"/>
      <c r="Z21" s="121"/>
    </row>
    <row r="22" spans="1:26" s="2" customFormat="1" ht="54.95" customHeight="1">
      <c r="A22" s="3"/>
      <c r="B22" s="3"/>
      <c r="C22" s="125"/>
      <c r="D22" s="126"/>
      <c r="E22" s="126"/>
      <c r="F22" s="126"/>
      <c r="G22" s="126"/>
      <c r="H22" s="126"/>
      <c r="I22" s="126"/>
      <c r="J22" s="3"/>
      <c r="K22" s="3"/>
      <c r="L22" s="3"/>
      <c r="N22" s="29"/>
      <c r="O22" s="29"/>
      <c r="P22" s="29"/>
      <c r="Q22" s="29"/>
      <c r="R22" s="29"/>
      <c r="S22" s="29"/>
      <c r="T22" s="29"/>
      <c r="U22" s="29"/>
      <c r="V22" s="29"/>
      <c r="W22" s="29"/>
      <c r="X22" s="30"/>
      <c r="Y22" s="30"/>
      <c r="Z22" s="121"/>
    </row>
    <row r="23" spans="1:26" s="2" customFormat="1" ht="54.95" customHeight="1">
      <c r="A23" s="3"/>
      <c r="B23" s="3"/>
      <c r="C23" s="125"/>
      <c r="D23" s="126"/>
      <c r="E23" s="126"/>
      <c r="F23" s="126"/>
      <c r="G23" s="126"/>
      <c r="H23" s="126"/>
      <c r="I23" s="126"/>
      <c r="J23" s="3"/>
      <c r="K23" s="3"/>
      <c r="L23" s="3"/>
      <c r="N23" s="29"/>
      <c r="O23" s="29"/>
      <c r="P23" s="29"/>
      <c r="Q23" s="29"/>
      <c r="R23" s="29"/>
      <c r="S23" s="29"/>
      <c r="T23" s="29"/>
      <c r="U23" s="29"/>
      <c r="V23" s="29"/>
      <c r="W23" s="29"/>
      <c r="X23" s="30"/>
      <c r="Y23" s="30"/>
      <c r="Z23" s="121"/>
    </row>
    <row r="24" spans="1:26" s="2" customFormat="1" ht="54.95" customHeight="1">
      <c r="A24" s="3"/>
      <c r="B24" s="3"/>
      <c r="C24" s="125"/>
      <c r="D24" s="126"/>
      <c r="E24" s="126"/>
      <c r="F24" s="126"/>
      <c r="G24" s="126"/>
      <c r="H24" s="126"/>
      <c r="I24" s="126"/>
      <c r="J24" s="3"/>
      <c r="K24" s="3"/>
      <c r="L24" s="3"/>
      <c r="N24" s="29"/>
      <c r="O24" s="29"/>
      <c r="P24" s="29"/>
      <c r="Q24" s="29"/>
      <c r="R24" s="29"/>
      <c r="S24" s="29"/>
      <c r="T24" s="29"/>
      <c r="U24" s="29"/>
      <c r="V24" s="29"/>
      <c r="W24" s="29"/>
      <c r="X24" s="30"/>
      <c r="Y24" s="30"/>
      <c r="Z24" s="121"/>
    </row>
    <row r="25" spans="1:26" s="2" customFormat="1" ht="54.95" customHeight="1">
      <c r="A25" s="3"/>
      <c r="B25" s="3"/>
      <c r="C25" s="125"/>
      <c r="D25" s="126"/>
      <c r="E25" s="126"/>
      <c r="F25" s="126"/>
      <c r="G25" s="126"/>
      <c r="H25" s="126"/>
      <c r="I25" s="126"/>
      <c r="J25" s="3"/>
      <c r="K25" s="3"/>
      <c r="L25" s="3"/>
      <c r="N25" s="29"/>
      <c r="O25" s="29"/>
      <c r="P25" s="29"/>
      <c r="Q25" s="29"/>
      <c r="R25" s="29"/>
      <c r="S25" s="29"/>
      <c r="T25" s="29"/>
      <c r="U25" s="29"/>
      <c r="V25" s="29"/>
      <c r="W25" s="29"/>
      <c r="X25" s="30"/>
      <c r="Y25" s="30"/>
      <c r="Z25" s="121"/>
    </row>
    <row r="26" spans="1:26" s="2" customFormat="1" ht="54.95" customHeight="1">
      <c r="A26" s="3"/>
      <c r="B26" s="3"/>
      <c r="C26" s="125"/>
      <c r="D26" s="126"/>
      <c r="E26" s="126"/>
      <c r="F26" s="126"/>
      <c r="G26" s="126"/>
      <c r="H26" s="126"/>
      <c r="I26" s="126"/>
      <c r="J26" s="3"/>
      <c r="K26" s="3"/>
      <c r="L26" s="3"/>
      <c r="N26" s="29"/>
      <c r="O26" s="29"/>
      <c r="P26" s="29"/>
      <c r="Q26" s="29"/>
      <c r="R26" s="29"/>
      <c r="S26" s="29"/>
      <c r="T26" s="29"/>
      <c r="U26" s="29"/>
      <c r="V26" s="29"/>
      <c r="W26" s="29"/>
      <c r="X26" s="30"/>
      <c r="Y26" s="30"/>
      <c r="Z26" s="121"/>
    </row>
    <row r="27" spans="1:26" s="2" customFormat="1" ht="54.95" customHeight="1">
      <c r="A27" s="3"/>
      <c r="B27" s="3"/>
      <c r="C27" s="125"/>
      <c r="D27" s="126"/>
      <c r="E27" s="126"/>
      <c r="F27" s="126"/>
      <c r="G27" s="126"/>
      <c r="H27" s="126"/>
      <c r="I27" s="126"/>
      <c r="J27" s="3"/>
      <c r="K27" s="3"/>
      <c r="L27" s="3"/>
      <c r="N27" s="29"/>
      <c r="O27" s="29"/>
      <c r="P27" s="29"/>
      <c r="Q27" s="29"/>
      <c r="R27" s="29"/>
      <c r="S27" s="29"/>
      <c r="T27" s="29"/>
      <c r="U27" s="29"/>
      <c r="V27" s="29"/>
      <c r="W27" s="29"/>
      <c r="X27" s="30"/>
      <c r="Y27" s="30"/>
      <c r="Z27" s="121"/>
    </row>
    <row r="28" spans="1:26" s="2" customFormat="1" ht="54.95" customHeight="1">
      <c r="A28" s="3"/>
      <c r="B28" s="3"/>
      <c r="C28" s="125"/>
      <c r="D28" s="126"/>
      <c r="E28" s="126"/>
      <c r="F28" s="126"/>
      <c r="G28" s="126"/>
      <c r="H28" s="126"/>
      <c r="I28" s="126"/>
      <c r="J28" s="3"/>
      <c r="K28" s="3"/>
      <c r="L28" s="3"/>
      <c r="N28" s="29"/>
      <c r="O28" s="29"/>
      <c r="P28" s="29"/>
      <c r="Q28" s="29"/>
      <c r="R28" s="29"/>
      <c r="S28" s="29"/>
      <c r="T28" s="29"/>
      <c r="U28" s="29"/>
      <c r="V28" s="29"/>
      <c r="W28" s="29"/>
      <c r="X28" s="30"/>
      <c r="Y28" s="30"/>
      <c r="Z28" s="121"/>
    </row>
    <row r="29" spans="1:26" s="2" customFormat="1" ht="54.95" customHeight="1">
      <c r="A29" s="3"/>
      <c r="B29" s="3"/>
      <c r="C29" s="125"/>
      <c r="D29" s="126"/>
      <c r="E29" s="126"/>
      <c r="F29" s="126"/>
      <c r="G29" s="126"/>
      <c r="H29" s="126"/>
      <c r="I29" s="126"/>
      <c r="J29" s="3"/>
      <c r="K29" s="3"/>
      <c r="L29" s="3"/>
      <c r="N29" s="29"/>
      <c r="O29" s="29"/>
      <c r="P29" s="29"/>
      <c r="Q29" s="29"/>
      <c r="R29" s="29"/>
      <c r="S29" s="29"/>
      <c r="T29" s="29"/>
      <c r="U29" s="29"/>
      <c r="V29" s="29"/>
      <c r="W29" s="29"/>
      <c r="X29" s="30"/>
      <c r="Y29" s="30"/>
      <c r="Z29" s="121"/>
    </row>
    <row r="30" spans="1:26" s="2" customFormat="1" ht="54.95" customHeight="1">
      <c r="A30" s="3"/>
      <c r="B30" s="3"/>
      <c r="C30" s="125"/>
      <c r="D30" s="126"/>
      <c r="E30" s="126"/>
      <c r="F30" s="126"/>
      <c r="G30" s="126"/>
      <c r="H30" s="126"/>
      <c r="I30" s="126"/>
      <c r="J30" s="3"/>
      <c r="K30" s="3"/>
      <c r="L30" s="3"/>
      <c r="N30" s="29"/>
      <c r="O30" s="29"/>
      <c r="P30" s="29"/>
      <c r="Q30" s="29"/>
      <c r="R30" s="29"/>
      <c r="S30" s="29"/>
      <c r="T30" s="29"/>
      <c r="U30" s="29"/>
      <c r="V30" s="29"/>
      <c r="W30" s="29"/>
      <c r="X30" s="30"/>
      <c r="Y30" s="30"/>
      <c r="Z30" s="121"/>
    </row>
    <row r="31" spans="1:26" s="2" customFormat="1" ht="54.95" customHeight="1">
      <c r="A31" s="3"/>
      <c r="B31" s="3"/>
      <c r="C31" s="125"/>
      <c r="D31" s="126"/>
      <c r="E31" s="126"/>
      <c r="F31" s="126"/>
      <c r="G31" s="126"/>
      <c r="H31" s="126"/>
      <c r="I31" s="126"/>
      <c r="J31" s="3"/>
      <c r="K31" s="3"/>
      <c r="L31" s="3"/>
      <c r="N31" s="29"/>
      <c r="O31" s="29"/>
      <c r="P31" s="29"/>
      <c r="Q31" s="29"/>
      <c r="R31" s="29"/>
      <c r="S31" s="29"/>
      <c r="T31" s="29"/>
      <c r="U31" s="29"/>
      <c r="V31" s="29"/>
      <c r="W31" s="29"/>
      <c r="X31" s="30"/>
      <c r="Y31" s="30"/>
      <c r="Z31" s="121"/>
    </row>
    <row r="32" spans="1:26" s="2" customFormat="1" ht="54.95" customHeight="1">
      <c r="A32" s="3"/>
      <c r="B32" s="3"/>
      <c r="C32" s="125"/>
      <c r="D32" s="126"/>
      <c r="E32" s="126"/>
      <c r="F32" s="126"/>
      <c r="G32" s="126"/>
      <c r="H32" s="126"/>
      <c r="I32" s="126"/>
      <c r="J32" s="3"/>
      <c r="K32" s="3"/>
      <c r="L32" s="3"/>
      <c r="N32" s="29"/>
      <c r="O32" s="29"/>
      <c r="P32" s="29"/>
      <c r="Q32" s="29"/>
      <c r="R32" s="29"/>
      <c r="S32" s="29"/>
      <c r="T32" s="29"/>
      <c r="U32" s="29"/>
      <c r="V32" s="29"/>
      <c r="W32" s="29"/>
      <c r="X32" s="30"/>
      <c r="Y32" s="30"/>
      <c r="Z32" s="121"/>
    </row>
    <row r="33" spans="1:26" s="2" customFormat="1" ht="54.95" customHeight="1">
      <c r="A33" s="3"/>
      <c r="B33" s="3"/>
      <c r="C33" s="125"/>
      <c r="D33" s="126"/>
      <c r="E33" s="126"/>
      <c r="F33" s="126"/>
      <c r="G33" s="126"/>
      <c r="H33" s="126"/>
      <c r="I33" s="126"/>
      <c r="J33" s="3"/>
      <c r="K33" s="3"/>
      <c r="L33" s="3"/>
      <c r="N33" s="29"/>
      <c r="O33" s="29"/>
      <c r="P33" s="29"/>
      <c r="Q33" s="29"/>
      <c r="R33" s="29"/>
      <c r="S33" s="29"/>
      <c r="T33" s="29"/>
      <c r="U33" s="29"/>
      <c r="V33" s="29"/>
      <c r="W33" s="29"/>
      <c r="X33" s="30"/>
      <c r="Y33" s="30"/>
      <c r="Z33" s="121"/>
    </row>
    <row r="34" spans="1:26" s="2" customFormat="1" ht="54.95" customHeight="1">
      <c r="A34" s="3"/>
      <c r="B34" s="3"/>
      <c r="C34" s="125"/>
      <c r="D34" s="126"/>
      <c r="E34" s="126"/>
      <c r="F34" s="126"/>
      <c r="G34" s="126"/>
      <c r="H34" s="126"/>
      <c r="I34" s="126"/>
      <c r="J34" s="3"/>
      <c r="K34" s="3"/>
      <c r="L34" s="3"/>
      <c r="N34" s="29"/>
      <c r="O34" s="29"/>
      <c r="P34" s="29"/>
      <c r="Q34" s="29"/>
      <c r="R34" s="29"/>
      <c r="S34" s="29"/>
      <c r="T34" s="29"/>
      <c r="U34" s="29"/>
      <c r="V34" s="29"/>
      <c r="W34" s="29"/>
      <c r="X34" s="30"/>
      <c r="Y34" s="30"/>
      <c r="Z34" s="121"/>
    </row>
    <row r="35" spans="1:26" s="2" customFormat="1" ht="54.95" customHeight="1">
      <c r="A35" s="3"/>
      <c r="B35" s="3"/>
      <c r="C35" s="125"/>
      <c r="D35" s="126"/>
      <c r="E35" s="126"/>
      <c r="F35" s="126"/>
      <c r="G35" s="126"/>
      <c r="H35" s="126"/>
      <c r="I35" s="126"/>
      <c r="J35" s="3"/>
      <c r="K35" s="3"/>
      <c r="L35" s="3"/>
      <c r="N35" s="29"/>
      <c r="O35" s="29"/>
      <c r="P35" s="29"/>
      <c r="Q35" s="29"/>
      <c r="R35" s="29"/>
      <c r="S35" s="29"/>
      <c r="T35" s="29"/>
      <c r="U35" s="29"/>
      <c r="V35" s="29"/>
      <c r="W35" s="29"/>
      <c r="X35" s="30"/>
      <c r="Y35" s="30"/>
      <c r="Z35" s="121"/>
    </row>
    <row r="36" spans="1:26" s="2" customFormat="1" ht="54.95" customHeight="1">
      <c r="A36" s="3"/>
      <c r="B36" s="3"/>
      <c r="C36" s="125"/>
      <c r="D36" s="126"/>
      <c r="E36" s="126"/>
      <c r="F36" s="126"/>
      <c r="G36" s="126"/>
      <c r="H36" s="126"/>
      <c r="I36" s="126"/>
      <c r="J36" s="3"/>
      <c r="K36" s="3"/>
      <c r="L36" s="3"/>
      <c r="N36" s="29"/>
      <c r="O36" s="29"/>
      <c r="P36" s="29"/>
      <c r="Q36" s="29"/>
      <c r="R36" s="29"/>
      <c r="S36" s="29"/>
      <c r="T36" s="29"/>
      <c r="U36" s="29"/>
      <c r="V36" s="29"/>
      <c r="W36" s="29"/>
      <c r="X36" s="30"/>
      <c r="Y36" s="30"/>
      <c r="Z36" s="121"/>
    </row>
    <row r="37" spans="1:26" s="2" customFormat="1" ht="54.95" customHeight="1">
      <c r="A37" s="3"/>
      <c r="B37" s="3"/>
      <c r="C37" s="125"/>
      <c r="D37" s="126"/>
      <c r="E37" s="126"/>
      <c r="F37" s="126"/>
      <c r="G37" s="126"/>
      <c r="H37" s="126"/>
      <c r="I37" s="126"/>
      <c r="J37" s="3"/>
      <c r="K37" s="3"/>
      <c r="L37" s="3"/>
      <c r="N37" s="29"/>
      <c r="O37" s="29"/>
      <c r="P37" s="29"/>
      <c r="Q37" s="29"/>
      <c r="R37" s="29"/>
      <c r="S37" s="29"/>
      <c r="T37" s="29"/>
      <c r="U37" s="29"/>
      <c r="V37" s="29"/>
      <c r="W37" s="29"/>
      <c r="X37" s="30"/>
      <c r="Y37" s="30"/>
      <c r="Z37" s="121"/>
    </row>
    <row r="38" spans="1:26" s="2" customFormat="1" ht="54.95" customHeight="1">
      <c r="A38" s="3"/>
      <c r="B38" s="3"/>
      <c r="C38" s="125"/>
      <c r="D38" s="126"/>
      <c r="E38" s="126"/>
      <c r="F38" s="126"/>
      <c r="G38" s="126"/>
      <c r="H38" s="126"/>
      <c r="I38" s="126"/>
      <c r="J38" s="3"/>
      <c r="K38" s="3"/>
      <c r="L38" s="3"/>
      <c r="N38" s="29"/>
      <c r="O38" s="29"/>
      <c r="P38" s="29"/>
      <c r="Q38" s="29"/>
      <c r="R38" s="29"/>
      <c r="S38" s="29"/>
      <c r="T38" s="29"/>
      <c r="U38" s="29"/>
      <c r="V38" s="29"/>
      <c r="W38" s="29"/>
      <c r="X38" s="30"/>
      <c r="Y38" s="30"/>
      <c r="Z38" s="121"/>
    </row>
    <row r="39" spans="1:26" s="2" customFormat="1" ht="54.95" customHeight="1">
      <c r="A39" s="3"/>
      <c r="B39" s="3"/>
      <c r="C39" s="125"/>
      <c r="D39" s="126"/>
      <c r="E39" s="126"/>
      <c r="F39" s="126"/>
      <c r="G39" s="126"/>
      <c r="H39" s="126"/>
      <c r="I39" s="126"/>
      <c r="J39" s="3"/>
      <c r="K39" s="3"/>
      <c r="L39" s="3"/>
      <c r="N39" s="29"/>
      <c r="O39" s="29"/>
      <c r="P39" s="29"/>
      <c r="Q39" s="29"/>
      <c r="R39" s="29"/>
      <c r="S39" s="29"/>
      <c r="T39" s="29"/>
      <c r="U39" s="29"/>
      <c r="V39" s="29"/>
      <c r="W39" s="29"/>
      <c r="X39" s="30"/>
      <c r="Y39" s="30"/>
      <c r="Z39" s="121"/>
    </row>
    <row r="40" spans="1:26" s="2" customFormat="1" ht="54.95" customHeight="1">
      <c r="A40" s="3"/>
      <c r="B40" s="3"/>
      <c r="C40" s="125"/>
      <c r="D40" s="126"/>
      <c r="E40" s="126"/>
      <c r="F40" s="126"/>
      <c r="G40" s="126"/>
      <c r="H40" s="126"/>
      <c r="I40" s="126"/>
      <c r="J40" s="3"/>
      <c r="K40" s="3"/>
      <c r="L40" s="3"/>
      <c r="N40" s="29"/>
      <c r="O40" s="29"/>
      <c r="P40" s="29"/>
      <c r="Q40" s="29"/>
      <c r="R40" s="29"/>
      <c r="S40" s="29"/>
      <c r="T40" s="29"/>
      <c r="U40" s="29"/>
      <c r="V40" s="29"/>
      <c r="W40" s="29"/>
      <c r="X40" s="30"/>
      <c r="Y40" s="30"/>
      <c r="Z40" s="121"/>
    </row>
    <row r="41" spans="1:26" s="2" customFormat="1" ht="54.95" customHeight="1">
      <c r="A41" s="3"/>
      <c r="B41" s="3"/>
      <c r="C41" s="125"/>
      <c r="D41" s="126"/>
      <c r="E41" s="126"/>
      <c r="F41" s="126"/>
      <c r="G41" s="126"/>
      <c r="H41" s="126"/>
      <c r="I41" s="126"/>
      <c r="J41" s="3"/>
      <c r="K41" s="3"/>
      <c r="L41" s="3"/>
      <c r="N41" s="29"/>
      <c r="O41" s="29"/>
      <c r="P41" s="29"/>
      <c r="Q41" s="29"/>
      <c r="R41" s="29"/>
      <c r="S41" s="29"/>
      <c r="T41" s="29"/>
      <c r="U41" s="29"/>
      <c r="V41" s="29"/>
      <c r="W41" s="29"/>
      <c r="X41" s="30"/>
      <c r="Y41" s="30"/>
      <c r="Z41" s="121"/>
    </row>
    <row r="42" spans="1:26" s="2" customFormat="1" ht="54.95" customHeight="1">
      <c r="A42" s="3"/>
      <c r="B42" s="3"/>
      <c r="C42" s="125"/>
      <c r="D42" s="126"/>
      <c r="E42" s="126"/>
      <c r="F42" s="126"/>
      <c r="G42" s="126"/>
      <c r="H42" s="126"/>
      <c r="I42" s="126"/>
      <c r="J42" s="3"/>
      <c r="K42" s="3"/>
      <c r="L42" s="3"/>
      <c r="N42" s="29"/>
      <c r="O42" s="29"/>
      <c r="P42" s="29"/>
      <c r="Q42" s="29"/>
      <c r="R42" s="29"/>
      <c r="S42" s="29"/>
      <c r="T42" s="29"/>
      <c r="U42" s="29"/>
      <c r="V42" s="29"/>
      <c r="W42" s="29"/>
      <c r="X42" s="30"/>
      <c r="Y42" s="30"/>
      <c r="Z42" s="121"/>
    </row>
    <row r="43" spans="1:26" s="2" customFormat="1" ht="54.95" customHeight="1">
      <c r="A43" s="3"/>
      <c r="B43" s="3"/>
      <c r="C43" s="125"/>
      <c r="D43" s="126"/>
      <c r="E43" s="126"/>
      <c r="F43" s="126"/>
      <c r="G43" s="126"/>
      <c r="H43" s="126"/>
      <c r="I43" s="126"/>
      <c r="J43" s="3"/>
      <c r="K43" s="3"/>
      <c r="L43" s="3"/>
      <c r="N43" s="29"/>
      <c r="O43" s="29"/>
      <c r="P43" s="29"/>
      <c r="Q43" s="29"/>
      <c r="R43" s="29"/>
      <c r="S43" s="29"/>
      <c r="T43" s="29"/>
      <c r="U43" s="29"/>
      <c r="V43" s="29"/>
      <c r="W43" s="29"/>
      <c r="X43" s="127"/>
      <c r="Y43" s="127"/>
      <c r="Z43" s="121"/>
    </row>
    <row r="44" spans="1:26" s="2" customFormat="1" ht="54.95" customHeight="1">
      <c r="A44" s="3"/>
      <c r="B44" s="3"/>
      <c r="C44" s="125"/>
      <c r="D44" s="126"/>
      <c r="E44" s="126"/>
      <c r="F44" s="126"/>
      <c r="G44" s="126"/>
      <c r="H44" s="126"/>
      <c r="I44" s="126"/>
      <c r="J44" s="3"/>
      <c r="K44" s="3"/>
      <c r="L44" s="3"/>
      <c r="N44" s="29"/>
      <c r="O44" s="29"/>
      <c r="P44" s="29"/>
      <c r="Q44" s="29"/>
      <c r="R44" s="29"/>
      <c r="S44" s="29"/>
      <c r="T44" s="29"/>
      <c r="U44" s="29"/>
      <c r="V44" s="29"/>
      <c r="W44" s="29"/>
      <c r="X44" s="29"/>
      <c r="Y44" s="29"/>
      <c r="Z44" s="121"/>
    </row>
    <row r="45" spans="1:26" s="2" customFormat="1" ht="54.95" customHeight="1">
      <c r="A45" s="3"/>
      <c r="B45" s="3"/>
      <c r="C45" s="125"/>
      <c r="D45" s="126"/>
      <c r="E45" s="126"/>
      <c r="F45" s="126"/>
      <c r="G45" s="126"/>
      <c r="H45" s="126"/>
      <c r="I45" s="126"/>
      <c r="J45" s="3"/>
      <c r="K45" s="3"/>
      <c r="L45" s="3"/>
      <c r="N45" s="29"/>
      <c r="O45" s="29"/>
      <c r="P45" s="29"/>
      <c r="Q45" s="29"/>
      <c r="R45" s="29"/>
      <c r="S45" s="29"/>
      <c r="T45" s="29"/>
      <c r="U45" s="29"/>
      <c r="V45" s="29"/>
      <c r="W45" s="29"/>
      <c r="X45" s="30"/>
      <c r="Y45" s="30"/>
      <c r="Z45" s="121"/>
    </row>
    <row r="46" spans="1:26" s="2" customFormat="1" ht="54.95" customHeight="1">
      <c r="A46" s="3"/>
      <c r="B46" s="3"/>
      <c r="C46" s="125"/>
      <c r="D46" s="126"/>
      <c r="E46" s="126"/>
      <c r="F46" s="126"/>
      <c r="G46" s="126"/>
      <c r="H46" s="126"/>
      <c r="I46" s="126"/>
      <c r="J46" s="3"/>
      <c r="K46" s="3"/>
      <c r="L46" s="3"/>
      <c r="N46" s="29"/>
      <c r="O46" s="29"/>
      <c r="P46" s="29"/>
      <c r="Q46" s="29"/>
      <c r="R46" s="29"/>
      <c r="S46" s="29"/>
      <c r="T46" s="29"/>
      <c r="U46" s="29"/>
      <c r="V46" s="29"/>
      <c r="W46" s="29"/>
      <c r="X46" s="30"/>
      <c r="Y46" s="30"/>
      <c r="Z46" s="121"/>
    </row>
    <row r="47" spans="1:26" s="2" customFormat="1" ht="54.95" customHeight="1">
      <c r="A47" s="3"/>
      <c r="B47" s="3"/>
      <c r="C47" s="125"/>
      <c r="D47" s="126"/>
      <c r="E47" s="126"/>
      <c r="F47" s="126"/>
      <c r="G47" s="126"/>
      <c r="H47" s="126"/>
      <c r="I47" s="126"/>
      <c r="J47" s="3"/>
      <c r="K47" s="3"/>
      <c r="L47" s="3"/>
      <c r="N47" s="29"/>
      <c r="O47" s="29"/>
      <c r="P47" s="29"/>
      <c r="Q47" s="29"/>
      <c r="R47" s="29"/>
      <c r="S47" s="29"/>
      <c r="T47" s="29"/>
      <c r="U47" s="29"/>
      <c r="V47" s="29"/>
      <c r="W47" s="29"/>
      <c r="X47" s="30"/>
      <c r="Y47" s="30"/>
      <c r="Z47" s="121"/>
    </row>
    <row r="48" spans="1:26" s="2" customFormat="1" ht="54.95" customHeight="1">
      <c r="A48" s="3"/>
      <c r="B48" s="3"/>
      <c r="C48" s="125"/>
      <c r="D48" s="126"/>
      <c r="E48" s="126"/>
      <c r="F48" s="126"/>
      <c r="G48" s="126"/>
      <c r="H48" s="126"/>
      <c r="I48" s="126"/>
      <c r="J48" s="3"/>
      <c r="K48" s="3"/>
      <c r="L48" s="3"/>
      <c r="N48" s="29"/>
      <c r="O48" s="29"/>
      <c r="P48" s="29"/>
      <c r="Q48" s="29"/>
      <c r="R48" s="29"/>
      <c r="S48" s="29"/>
      <c r="T48" s="29"/>
      <c r="U48" s="29"/>
      <c r="V48" s="29"/>
      <c r="W48" s="29"/>
      <c r="X48" s="30"/>
      <c r="Y48" s="30"/>
      <c r="Z48" s="121"/>
    </row>
    <row r="49" spans="1:26" s="2" customFormat="1" ht="54.95" customHeight="1">
      <c r="A49" s="3"/>
      <c r="B49" s="3"/>
      <c r="C49" s="125"/>
      <c r="D49" s="126"/>
      <c r="E49" s="126"/>
      <c r="F49" s="126"/>
      <c r="G49" s="126"/>
      <c r="H49" s="126"/>
      <c r="I49" s="126"/>
      <c r="J49" s="3"/>
      <c r="K49" s="3"/>
      <c r="L49" s="3"/>
      <c r="N49" s="29"/>
      <c r="O49" s="29"/>
      <c r="P49" s="29"/>
      <c r="Q49" s="29"/>
      <c r="R49" s="29"/>
      <c r="S49" s="29"/>
      <c r="T49" s="29"/>
      <c r="U49" s="29"/>
      <c r="V49" s="29"/>
      <c r="W49" s="29"/>
      <c r="X49" s="30"/>
      <c r="Y49" s="30"/>
      <c r="Z49" s="121"/>
    </row>
    <row r="50" spans="1:26" s="2" customFormat="1" ht="54.95" customHeight="1">
      <c r="A50" s="3"/>
      <c r="B50" s="3"/>
      <c r="C50" s="125"/>
      <c r="D50" s="126"/>
      <c r="E50" s="126"/>
      <c r="F50" s="126"/>
      <c r="G50" s="126"/>
      <c r="H50" s="126"/>
      <c r="I50" s="126"/>
      <c r="J50" s="3"/>
      <c r="K50" s="3"/>
      <c r="L50" s="3"/>
      <c r="N50" s="29"/>
      <c r="O50" s="29"/>
      <c r="P50" s="29"/>
      <c r="Q50" s="29"/>
      <c r="R50" s="29"/>
      <c r="S50" s="29"/>
      <c r="T50" s="29"/>
      <c r="U50" s="29"/>
      <c r="V50" s="29"/>
      <c r="W50" s="29"/>
      <c r="X50" s="30"/>
      <c r="Y50" s="30"/>
      <c r="Z50" s="121"/>
    </row>
    <row r="51" spans="1:26" s="2" customFormat="1" ht="54.95" customHeight="1">
      <c r="A51" s="3"/>
      <c r="B51" s="3"/>
      <c r="C51" s="125"/>
      <c r="D51" s="126"/>
      <c r="E51" s="126"/>
      <c r="F51" s="126"/>
      <c r="G51" s="126"/>
      <c r="H51" s="126"/>
      <c r="I51" s="126"/>
      <c r="J51" s="3"/>
      <c r="K51" s="3"/>
      <c r="L51" s="3"/>
      <c r="N51" s="29"/>
      <c r="O51" s="29"/>
      <c r="P51" s="29"/>
      <c r="Q51" s="29"/>
      <c r="R51" s="29"/>
      <c r="S51" s="29"/>
      <c r="T51" s="29"/>
      <c r="U51" s="29"/>
      <c r="V51" s="29"/>
      <c r="W51" s="29"/>
      <c r="X51" s="30"/>
      <c r="Y51" s="30"/>
      <c r="Z51" s="121"/>
    </row>
    <row r="52" spans="1:26" s="2" customFormat="1" ht="54.95" customHeight="1">
      <c r="A52" s="3"/>
      <c r="B52" s="3"/>
      <c r="C52" s="125"/>
      <c r="D52" s="126"/>
      <c r="E52" s="126"/>
      <c r="F52" s="126"/>
      <c r="G52" s="126"/>
      <c r="H52" s="126"/>
      <c r="I52" s="126"/>
      <c r="J52" s="3"/>
      <c r="K52" s="3"/>
      <c r="L52" s="3"/>
      <c r="N52" s="29"/>
      <c r="O52" s="29"/>
      <c r="P52" s="29"/>
      <c r="Q52" s="29"/>
      <c r="R52" s="29"/>
      <c r="S52" s="29"/>
      <c r="T52" s="29"/>
      <c r="U52" s="29"/>
      <c r="V52" s="29"/>
      <c r="W52" s="29"/>
      <c r="X52" s="30"/>
      <c r="Y52" s="30"/>
      <c r="Z52" s="121"/>
    </row>
    <row r="53" spans="1:26" s="2" customFormat="1" ht="54.95" customHeight="1">
      <c r="A53" s="3"/>
      <c r="B53" s="3"/>
      <c r="C53" s="125"/>
      <c r="D53" s="126"/>
      <c r="E53" s="126"/>
      <c r="F53" s="126"/>
      <c r="G53" s="126"/>
      <c r="H53" s="126"/>
      <c r="I53" s="126"/>
      <c r="J53" s="3"/>
      <c r="K53" s="3"/>
      <c r="L53" s="3"/>
      <c r="N53" s="29"/>
      <c r="O53" s="29"/>
      <c r="P53" s="29"/>
      <c r="Q53" s="29"/>
      <c r="R53" s="29"/>
      <c r="S53" s="29"/>
      <c r="T53" s="29"/>
      <c r="U53" s="29"/>
      <c r="V53" s="29"/>
      <c r="W53" s="29"/>
      <c r="X53" s="30"/>
      <c r="Y53" s="30"/>
      <c r="Z53" s="121"/>
    </row>
    <row r="54" spans="1:26" s="2" customFormat="1" ht="54.95" customHeight="1">
      <c r="A54" s="3"/>
      <c r="B54" s="3"/>
      <c r="C54" s="125"/>
      <c r="D54" s="126"/>
      <c r="E54" s="126"/>
      <c r="F54" s="126"/>
      <c r="G54" s="126"/>
      <c r="H54" s="126"/>
      <c r="I54" s="126"/>
      <c r="J54" s="3"/>
      <c r="K54" s="3"/>
      <c r="L54" s="3"/>
      <c r="N54" s="29"/>
      <c r="O54" s="29"/>
      <c r="P54" s="29"/>
      <c r="Q54" s="29"/>
      <c r="R54" s="29"/>
      <c r="S54" s="29"/>
      <c r="T54" s="29"/>
      <c r="U54" s="29"/>
      <c r="V54" s="29"/>
      <c r="W54" s="29"/>
      <c r="X54" s="30"/>
      <c r="Y54" s="30"/>
      <c r="Z54" s="121"/>
    </row>
    <row r="55" spans="1:26" s="2" customFormat="1" ht="54.95" customHeight="1">
      <c r="A55" s="3"/>
      <c r="B55" s="3"/>
      <c r="C55" s="125"/>
      <c r="D55" s="126"/>
      <c r="E55" s="126"/>
      <c r="F55" s="126"/>
      <c r="G55" s="126"/>
      <c r="H55" s="126"/>
      <c r="I55" s="126"/>
      <c r="J55" s="3"/>
      <c r="K55" s="3"/>
      <c r="L55" s="3"/>
      <c r="N55" s="29"/>
      <c r="O55" s="29"/>
      <c r="P55" s="29"/>
      <c r="Q55" s="29"/>
      <c r="R55" s="29"/>
      <c r="S55" s="29"/>
      <c r="T55" s="29"/>
      <c r="U55" s="29"/>
      <c r="V55" s="29"/>
      <c r="W55" s="29"/>
      <c r="X55" s="30"/>
      <c r="Y55" s="30"/>
      <c r="Z55" s="121"/>
    </row>
    <row r="56" spans="1:26" s="2" customFormat="1" ht="54.95" customHeight="1">
      <c r="A56" s="3"/>
      <c r="B56" s="3"/>
      <c r="C56" s="125"/>
      <c r="D56" s="126"/>
      <c r="E56" s="126"/>
      <c r="F56" s="126"/>
      <c r="G56" s="126"/>
      <c r="H56" s="126"/>
      <c r="I56" s="126"/>
      <c r="J56" s="3"/>
      <c r="K56" s="3"/>
      <c r="L56" s="3"/>
      <c r="N56" s="29"/>
      <c r="O56" s="29"/>
      <c r="P56" s="29"/>
      <c r="Q56" s="29"/>
      <c r="R56" s="29"/>
      <c r="S56" s="29"/>
      <c r="T56" s="29"/>
      <c r="U56" s="29"/>
      <c r="V56" s="29"/>
      <c r="W56" s="29"/>
      <c r="X56" s="30"/>
      <c r="Y56" s="30"/>
      <c r="Z56" s="121"/>
    </row>
    <row r="57" spans="1:26" s="2" customFormat="1" ht="54.95" customHeight="1">
      <c r="A57" s="3"/>
      <c r="B57" s="3"/>
      <c r="C57" s="125"/>
      <c r="D57" s="126"/>
      <c r="E57" s="126"/>
      <c r="F57" s="126"/>
      <c r="G57" s="126"/>
      <c r="H57" s="126"/>
      <c r="I57" s="126"/>
      <c r="J57" s="3"/>
      <c r="K57" s="3"/>
      <c r="L57" s="3"/>
      <c r="N57" s="29"/>
      <c r="O57" s="29"/>
      <c r="P57" s="29"/>
      <c r="Q57" s="29"/>
      <c r="R57" s="29"/>
      <c r="S57" s="29"/>
      <c r="T57" s="29"/>
      <c r="U57" s="29"/>
      <c r="V57" s="29"/>
      <c r="W57" s="29"/>
      <c r="X57" s="30"/>
      <c r="Y57" s="30"/>
      <c r="Z57" s="121"/>
    </row>
    <row r="58" spans="1:26" s="2" customFormat="1" ht="54.95" customHeight="1">
      <c r="A58" s="3"/>
      <c r="B58" s="3"/>
      <c r="C58" s="125"/>
      <c r="D58" s="126"/>
      <c r="E58" s="126"/>
      <c r="F58" s="126"/>
      <c r="G58" s="126"/>
      <c r="H58" s="126"/>
      <c r="I58" s="126"/>
      <c r="J58" s="3"/>
      <c r="K58" s="3"/>
      <c r="L58" s="3"/>
      <c r="N58" s="29"/>
      <c r="O58" s="29"/>
      <c r="P58" s="29"/>
      <c r="Q58" s="29"/>
      <c r="R58" s="29"/>
      <c r="S58" s="29"/>
      <c r="T58" s="29"/>
      <c r="U58" s="29"/>
      <c r="V58" s="29"/>
      <c r="W58" s="29"/>
      <c r="X58" s="30"/>
      <c r="Y58" s="30"/>
      <c r="Z58" s="121"/>
    </row>
    <row r="59" spans="1:26" s="2" customFormat="1" ht="54.95" customHeight="1">
      <c r="A59" s="3"/>
      <c r="B59" s="3"/>
      <c r="C59" s="125"/>
      <c r="D59" s="126"/>
      <c r="E59" s="126"/>
      <c r="F59" s="126"/>
      <c r="G59" s="126"/>
      <c r="H59" s="126"/>
      <c r="I59" s="126"/>
      <c r="J59" s="3"/>
      <c r="K59" s="3"/>
      <c r="L59" s="3"/>
      <c r="N59" s="29"/>
      <c r="O59" s="29"/>
      <c r="P59" s="29"/>
      <c r="Q59" s="29"/>
      <c r="R59" s="29"/>
      <c r="S59" s="29"/>
      <c r="T59" s="29"/>
      <c r="U59" s="29"/>
      <c r="V59" s="29"/>
      <c r="W59" s="29"/>
      <c r="X59" s="30"/>
      <c r="Y59" s="30"/>
      <c r="Z59" s="121"/>
    </row>
    <row r="60" spans="1:26" s="2" customFormat="1" ht="54.95" customHeight="1">
      <c r="A60" s="3"/>
      <c r="B60" s="3"/>
      <c r="C60" s="125"/>
      <c r="D60" s="126"/>
      <c r="E60" s="126"/>
      <c r="F60" s="126"/>
      <c r="G60" s="126"/>
      <c r="H60" s="126"/>
      <c r="I60" s="126"/>
      <c r="J60" s="3"/>
      <c r="K60" s="3"/>
      <c r="L60" s="3"/>
      <c r="N60" s="29"/>
      <c r="O60" s="29"/>
      <c r="P60" s="29"/>
      <c r="Q60" s="29"/>
      <c r="R60" s="29"/>
      <c r="S60" s="29"/>
      <c r="T60" s="29"/>
      <c r="U60" s="29"/>
      <c r="V60" s="29"/>
      <c r="W60" s="29"/>
      <c r="X60" s="30"/>
      <c r="Y60" s="30"/>
      <c r="Z60" s="121"/>
    </row>
    <row r="61" spans="1:26" s="2" customFormat="1" ht="54.95" customHeight="1">
      <c r="A61" s="3"/>
      <c r="B61" s="3"/>
      <c r="C61" s="125"/>
      <c r="D61" s="126"/>
      <c r="E61" s="126"/>
      <c r="F61" s="126"/>
      <c r="G61" s="126"/>
      <c r="H61" s="126"/>
      <c r="I61" s="126"/>
      <c r="J61" s="3"/>
      <c r="K61" s="3"/>
      <c r="L61" s="3"/>
      <c r="N61" s="29"/>
      <c r="O61" s="29"/>
      <c r="P61" s="29"/>
      <c r="Q61" s="29"/>
      <c r="R61" s="29"/>
      <c r="S61" s="29"/>
      <c r="T61" s="29"/>
      <c r="U61" s="29"/>
      <c r="V61" s="29"/>
      <c r="W61" s="29"/>
      <c r="X61" s="30"/>
      <c r="Y61" s="30"/>
      <c r="Z61" s="121"/>
    </row>
    <row r="62" spans="1:26" s="2" customFormat="1" ht="54.95" customHeight="1">
      <c r="A62" s="3"/>
      <c r="B62" s="3"/>
      <c r="C62" s="125"/>
      <c r="D62" s="126"/>
      <c r="E62" s="126"/>
      <c r="F62" s="126"/>
      <c r="G62" s="126"/>
      <c r="H62" s="126"/>
      <c r="I62" s="126"/>
      <c r="J62" s="3"/>
      <c r="K62" s="3"/>
      <c r="L62" s="3"/>
      <c r="N62" s="29"/>
      <c r="O62" s="29"/>
      <c r="P62" s="29"/>
      <c r="Q62" s="29"/>
      <c r="R62" s="29"/>
      <c r="S62" s="29"/>
      <c r="T62" s="29"/>
      <c r="U62" s="29"/>
      <c r="V62" s="29"/>
      <c r="W62" s="29"/>
      <c r="X62" s="30"/>
      <c r="Y62" s="30"/>
      <c r="Z62" s="121"/>
    </row>
    <row r="63" spans="1:26" s="2" customFormat="1" ht="54.95" customHeight="1">
      <c r="A63" s="3"/>
      <c r="B63" s="3"/>
      <c r="C63" s="125"/>
      <c r="D63" s="126"/>
      <c r="E63" s="126"/>
      <c r="F63" s="126"/>
      <c r="G63" s="126"/>
      <c r="H63" s="126"/>
      <c r="I63" s="126"/>
      <c r="J63" s="3"/>
      <c r="K63" s="3"/>
      <c r="L63" s="3"/>
      <c r="N63" s="29"/>
      <c r="O63" s="29"/>
      <c r="P63" s="29"/>
      <c r="Q63" s="29"/>
      <c r="R63" s="29"/>
      <c r="S63" s="29"/>
      <c r="T63" s="29"/>
      <c r="U63" s="29"/>
      <c r="V63" s="29"/>
      <c r="W63" s="29"/>
      <c r="X63" s="30"/>
      <c r="Y63" s="30"/>
      <c r="Z63" s="121"/>
    </row>
    <row r="64" spans="1:26" s="2" customFormat="1" ht="54.95" customHeight="1">
      <c r="A64" s="3"/>
      <c r="B64" s="3"/>
      <c r="C64" s="125"/>
      <c r="D64" s="126"/>
      <c r="E64" s="126"/>
      <c r="F64" s="126"/>
      <c r="G64" s="126"/>
      <c r="H64" s="126"/>
      <c r="I64" s="126"/>
      <c r="J64" s="3"/>
      <c r="K64" s="3"/>
      <c r="L64" s="3"/>
      <c r="N64" s="29"/>
      <c r="O64" s="29"/>
      <c r="P64" s="29"/>
      <c r="Q64" s="29"/>
      <c r="R64" s="29"/>
      <c r="S64" s="29"/>
      <c r="T64" s="29"/>
      <c r="U64" s="29"/>
      <c r="V64" s="29"/>
      <c r="W64" s="29"/>
      <c r="X64" s="30"/>
      <c r="Y64" s="30"/>
      <c r="Z64" s="121"/>
    </row>
    <row r="65" spans="1:26" s="2" customFormat="1" ht="54.95" customHeight="1">
      <c r="A65" s="3"/>
      <c r="B65" s="3"/>
      <c r="C65" s="125"/>
      <c r="D65" s="126"/>
      <c r="E65" s="126"/>
      <c r="F65" s="126"/>
      <c r="G65" s="126"/>
      <c r="H65" s="126"/>
      <c r="I65" s="126"/>
      <c r="J65" s="3"/>
      <c r="K65" s="3"/>
      <c r="L65" s="3"/>
      <c r="N65" s="29"/>
      <c r="O65" s="29"/>
      <c r="P65" s="29"/>
      <c r="Q65" s="29"/>
      <c r="R65" s="29"/>
      <c r="S65" s="29"/>
      <c r="T65" s="29"/>
      <c r="U65" s="29"/>
      <c r="V65" s="29"/>
      <c r="W65" s="29"/>
      <c r="X65" s="30"/>
      <c r="Y65" s="30"/>
      <c r="Z65" s="121"/>
    </row>
    <row r="66" spans="1:26" s="2" customFormat="1" ht="54.95" customHeight="1">
      <c r="A66" s="3"/>
      <c r="B66" s="3"/>
      <c r="C66" s="125"/>
      <c r="D66" s="126"/>
      <c r="E66" s="126"/>
      <c r="F66" s="126"/>
      <c r="G66" s="126"/>
      <c r="H66" s="126"/>
      <c r="I66" s="126"/>
      <c r="J66" s="3"/>
      <c r="K66" s="3"/>
      <c r="L66" s="3"/>
      <c r="N66" s="29"/>
      <c r="O66" s="29"/>
      <c r="P66" s="29"/>
      <c r="Q66" s="29"/>
      <c r="R66" s="29"/>
      <c r="S66" s="29"/>
      <c r="T66" s="29"/>
      <c r="U66" s="29"/>
      <c r="V66" s="29"/>
      <c r="W66" s="29"/>
      <c r="X66" s="30"/>
      <c r="Y66" s="30"/>
      <c r="Z66" s="121"/>
    </row>
    <row r="67" spans="1:26" s="2" customFormat="1" ht="54.95" customHeight="1">
      <c r="A67" s="3"/>
      <c r="B67" s="3"/>
      <c r="C67" s="125"/>
      <c r="D67" s="126"/>
      <c r="E67" s="126"/>
      <c r="F67" s="126"/>
      <c r="G67" s="126"/>
      <c r="H67" s="126"/>
      <c r="I67" s="126"/>
      <c r="J67" s="3"/>
      <c r="K67" s="3"/>
      <c r="L67" s="3"/>
      <c r="N67" s="29"/>
      <c r="O67" s="29"/>
      <c r="P67" s="29"/>
      <c r="Q67" s="29"/>
      <c r="R67" s="29"/>
      <c r="S67" s="29"/>
      <c r="T67" s="29"/>
      <c r="U67" s="29"/>
      <c r="V67" s="29"/>
      <c r="W67" s="29"/>
      <c r="X67" s="30"/>
      <c r="Y67" s="30"/>
      <c r="Z67" s="121"/>
    </row>
    <row r="68" spans="1:26" s="2" customFormat="1" ht="54.95" customHeight="1">
      <c r="A68" s="3"/>
      <c r="B68" s="3"/>
      <c r="C68" s="125"/>
      <c r="D68" s="126"/>
      <c r="E68" s="126"/>
      <c r="F68" s="126"/>
      <c r="G68" s="126"/>
      <c r="H68" s="126"/>
      <c r="I68" s="126"/>
      <c r="J68" s="3"/>
      <c r="K68" s="3"/>
      <c r="L68" s="3"/>
      <c r="N68" s="29"/>
      <c r="O68" s="29"/>
      <c r="P68" s="29"/>
      <c r="Q68" s="29"/>
      <c r="R68" s="29"/>
      <c r="S68" s="29"/>
      <c r="T68" s="29"/>
      <c r="U68" s="29"/>
      <c r="V68" s="29"/>
      <c r="W68" s="29"/>
      <c r="X68" s="30"/>
      <c r="Y68" s="30"/>
      <c r="Z68" s="121"/>
    </row>
    <row r="69" spans="1:26" s="2" customFormat="1" ht="54.95" customHeight="1">
      <c r="A69" s="3"/>
      <c r="B69" s="3"/>
      <c r="C69" s="125"/>
      <c r="D69" s="126"/>
      <c r="E69" s="126"/>
      <c r="F69" s="126"/>
      <c r="G69" s="126"/>
      <c r="H69" s="126"/>
      <c r="I69" s="126"/>
      <c r="J69" s="3"/>
      <c r="K69" s="3"/>
      <c r="L69" s="3"/>
      <c r="N69" s="29"/>
      <c r="O69" s="29"/>
      <c r="P69" s="29"/>
      <c r="Q69" s="29"/>
      <c r="R69" s="29"/>
      <c r="S69" s="29"/>
      <c r="T69" s="29"/>
      <c r="U69" s="29"/>
      <c r="V69" s="29"/>
      <c r="W69" s="29"/>
      <c r="X69" s="30"/>
      <c r="Y69" s="30"/>
      <c r="Z69" s="121"/>
    </row>
    <row r="70" spans="1:26" s="2" customFormat="1" ht="54.95" customHeight="1">
      <c r="A70" s="3"/>
      <c r="B70" s="3"/>
      <c r="C70" s="125"/>
      <c r="D70" s="126"/>
      <c r="E70" s="126"/>
      <c r="F70" s="126"/>
      <c r="G70" s="126"/>
      <c r="H70" s="126"/>
      <c r="I70" s="126"/>
      <c r="J70" s="3"/>
      <c r="K70" s="3"/>
      <c r="L70" s="3"/>
      <c r="N70" s="29"/>
      <c r="O70" s="29"/>
      <c r="P70" s="29"/>
      <c r="Q70" s="29"/>
      <c r="R70" s="29"/>
      <c r="S70" s="29"/>
      <c r="T70" s="29"/>
      <c r="U70" s="29"/>
      <c r="V70" s="29"/>
      <c r="W70" s="29"/>
      <c r="X70" s="30"/>
      <c r="Y70" s="30"/>
      <c r="Z70" s="121"/>
    </row>
    <row r="71" spans="1:26" s="2" customFormat="1" ht="54.95" customHeight="1">
      <c r="A71" s="3"/>
      <c r="B71" s="3"/>
      <c r="C71" s="125"/>
      <c r="D71" s="126"/>
      <c r="E71" s="126"/>
      <c r="F71" s="126"/>
      <c r="G71" s="126"/>
      <c r="H71" s="126"/>
      <c r="I71" s="126"/>
      <c r="J71" s="3"/>
      <c r="K71" s="3"/>
      <c r="L71" s="3"/>
      <c r="N71" s="29"/>
      <c r="O71" s="29"/>
      <c r="P71" s="29"/>
      <c r="Q71" s="29"/>
      <c r="R71" s="29"/>
      <c r="S71" s="29"/>
      <c r="T71" s="29"/>
      <c r="U71" s="29"/>
      <c r="V71" s="29"/>
      <c r="W71" s="29"/>
      <c r="X71" s="30"/>
      <c r="Y71" s="30"/>
      <c r="Z71" s="121"/>
    </row>
    <row r="72" spans="1:26" s="2" customFormat="1" ht="54.95" customHeight="1">
      <c r="A72" s="3"/>
      <c r="B72" s="3"/>
      <c r="C72" s="125"/>
      <c r="D72" s="126"/>
      <c r="E72" s="126"/>
      <c r="F72" s="126"/>
      <c r="G72" s="126"/>
      <c r="H72" s="126"/>
      <c r="I72" s="126"/>
      <c r="J72" s="3"/>
      <c r="K72" s="3"/>
      <c r="L72" s="3"/>
      <c r="N72" s="29"/>
      <c r="O72" s="29"/>
      <c r="P72" s="29"/>
      <c r="Q72" s="29"/>
      <c r="R72" s="29"/>
      <c r="S72" s="29"/>
      <c r="T72" s="29"/>
      <c r="U72" s="29"/>
      <c r="V72" s="29"/>
      <c r="W72" s="29"/>
      <c r="X72" s="30"/>
      <c r="Y72" s="30"/>
      <c r="Z72" s="121"/>
    </row>
    <row r="73" spans="1:26" s="2" customFormat="1" ht="54.95" customHeight="1">
      <c r="A73" s="3"/>
      <c r="B73" s="3"/>
      <c r="C73" s="125"/>
      <c r="D73" s="126"/>
      <c r="E73" s="126"/>
      <c r="F73" s="126"/>
      <c r="G73" s="126"/>
      <c r="H73" s="126"/>
      <c r="I73" s="126"/>
      <c r="J73" s="3"/>
      <c r="K73" s="3"/>
      <c r="L73" s="3"/>
      <c r="N73" s="29"/>
      <c r="O73" s="29"/>
      <c r="P73" s="29"/>
      <c r="Q73" s="29"/>
      <c r="R73" s="29"/>
      <c r="S73" s="29"/>
      <c r="T73" s="29"/>
      <c r="U73" s="29"/>
      <c r="V73" s="29"/>
      <c r="W73" s="29"/>
      <c r="X73" s="30"/>
      <c r="Y73" s="30"/>
      <c r="Z73" s="121"/>
    </row>
    <row r="74" spans="1:26" ht="54.95" customHeight="1"/>
    <row r="75" spans="1:26" ht="54.95" customHeight="1"/>
    <row r="76" spans="1:26" ht="54.95" customHeight="1"/>
    <row r="77" spans="1:26" ht="54.95" customHeight="1"/>
    <row r="78" spans="1:26" ht="54.95" customHeight="1"/>
    <row r="79" spans="1:26" ht="54.95" customHeight="1"/>
    <row r="80" spans="1:26" ht="54.95" customHeight="1"/>
    <row r="81" ht="54.95" customHeight="1"/>
    <row r="82" ht="54.95" customHeight="1"/>
    <row r="83" ht="54.95" customHeight="1"/>
    <row r="84" ht="54.95" customHeight="1"/>
    <row r="85" ht="54.95" customHeight="1"/>
    <row r="86" ht="54.95" customHeight="1"/>
    <row r="87" ht="54.95" customHeight="1"/>
    <row r="88" ht="54.95" customHeight="1"/>
    <row r="89" ht="54.95" customHeight="1"/>
    <row r="90" ht="54.95" customHeight="1"/>
    <row r="91" ht="54.95" customHeight="1"/>
    <row r="92" ht="54.95" customHeight="1"/>
    <row r="93" ht="54.95" customHeight="1"/>
    <row r="94" ht="54.95" customHeight="1"/>
    <row r="95" ht="54.95" customHeight="1"/>
    <row r="96" ht="54.95" customHeight="1"/>
    <row r="97" ht="54.95" customHeight="1"/>
    <row r="98" ht="54.95" customHeight="1"/>
    <row r="99" ht="54.95" customHeight="1"/>
    <row r="100" ht="54.95" customHeight="1"/>
    <row r="101" ht="54.95" customHeight="1"/>
    <row r="102" ht="54.95" customHeight="1"/>
    <row r="103" ht="54.95" customHeight="1"/>
    <row r="104" ht="54.95" customHeight="1"/>
    <row r="105" ht="54.95" customHeight="1"/>
    <row r="106" ht="54.95" customHeight="1"/>
    <row r="107" ht="54.95" customHeight="1"/>
    <row r="108" ht="54.95" customHeight="1"/>
    <row r="109" ht="54.95" customHeight="1"/>
    <row r="110" ht="54.95" customHeight="1"/>
    <row r="111" ht="54.95" customHeight="1"/>
    <row r="112" ht="54.95" customHeight="1"/>
    <row r="113" ht="54.95" customHeight="1"/>
    <row r="114" ht="54.95" customHeight="1"/>
    <row r="115" ht="54.95" customHeight="1"/>
    <row r="116" ht="54.95" customHeight="1"/>
    <row r="117" ht="54.95" customHeight="1"/>
    <row r="118" ht="54.95" customHeight="1"/>
    <row r="119" ht="54.95" customHeight="1"/>
    <row r="120" ht="54.95" customHeight="1"/>
    <row r="121" ht="54.95" customHeight="1"/>
    <row r="122" ht="54.95" customHeight="1"/>
    <row r="123" ht="54.95" customHeight="1"/>
    <row r="124" ht="54.95" customHeight="1"/>
    <row r="125" ht="54.95" customHeight="1"/>
    <row r="126" ht="54.95" customHeight="1"/>
    <row r="127" ht="54.95" customHeight="1"/>
    <row r="128" ht="54.95" customHeight="1"/>
    <row r="129" ht="54.95" customHeight="1"/>
    <row r="130" ht="54.95" customHeight="1"/>
    <row r="131" ht="54.95" customHeight="1"/>
    <row r="132" ht="54.95" customHeight="1"/>
    <row r="133" ht="54.95" customHeight="1"/>
    <row r="134" ht="54.95" customHeight="1"/>
    <row r="135" ht="54.95" customHeight="1"/>
    <row r="136" ht="54.95" customHeight="1"/>
    <row r="137" ht="54.95" customHeight="1"/>
    <row r="138" ht="54.95" customHeight="1"/>
    <row r="139" ht="54.95" customHeight="1"/>
    <row r="140" ht="54.95" customHeight="1"/>
    <row r="141" ht="54.95" customHeight="1"/>
    <row r="142" ht="54.95" customHeight="1"/>
    <row r="143" ht="54.95" customHeight="1"/>
    <row r="144" ht="54.95" customHeight="1"/>
    <row r="145" ht="54.95" customHeight="1"/>
    <row r="146" ht="54.95" customHeight="1"/>
    <row r="147" ht="54.95" customHeight="1"/>
    <row r="148" ht="54.95" customHeight="1"/>
    <row r="149" ht="54.95" customHeight="1"/>
    <row r="150" ht="54.95" customHeight="1"/>
    <row r="151" ht="54.95" customHeight="1"/>
    <row r="152" ht="54.95" customHeight="1"/>
    <row r="153" ht="54.95" customHeight="1"/>
    <row r="154" ht="54.95" customHeight="1"/>
    <row r="155" ht="54.95" customHeight="1"/>
    <row r="156" ht="54.95" customHeight="1"/>
    <row r="157" ht="54.95" customHeight="1"/>
    <row r="158" ht="54.95" customHeight="1"/>
    <row r="159" ht="54.95" customHeight="1"/>
    <row r="160" ht="54.95" customHeight="1"/>
    <row r="161" ht="54.95" customHeight="1"/>
    <row r="162" ht="54.95" customHeight="1"/>
    <row r="163" ht="54.95" customHeight="1"/>
    <row r="164" ht="54.95" customHeight="1"/>
    <row r="165" ht="54.95" customHeight="1"/>
    <row r="166" ht="54.95" customHeight="1"/>
    <row r="167" ht="54.95" customHeight="1"/>
    <row r="168" ht="54.95" customHeight="1"/>
    <row r="169" ht="54.95" customHeight="1"/>
    <row r="170" ht="54.95" customHeight="1"/>
    <row r="171" ht="54.95" customHeight="1"/>
    <row r="172" ht="54.95" customHeight="1"/>
    <row r="173" ht="54.95" customHeight="1"/>
    <row r="174" ht="54.95" customHeight="1"/>
    <row r="175" ht="54.95" customHeight="1"/>
    <row r="176" ht="54.95" customHeight="1"/>
    <row r="177" spans="1:26" ht="54.95" customHeight="1"/>
    <row r="178" spans="1:26" ht="54.95" customHeight="1"/>
    <row r="179" spans="1:26" ht="54.95" customHeight="1"/>
    <row r="180" spans="1:26" ht="54.95" customHeight="1"/>
    <row r="181" spans="1:26" ht="54.95" customHeight="1"/>
    <row r="182" spans="1:26" ht="54.95" customHeight="1"/>
    <row r="183" spans="1:26" ht="54.95" customHeight="1"/>
    <row r="184" spans="1:26" ht="54.95" customHeight="1"/>
    <row r="185" spans="1:26" ht="54.95" customHeight="1"/>
    <row r="186" spans="1:26" s="2" customFormat="1" ht="54.95" customHeight="1">
      <c r="A186" s="3"/>
      <c r="B186" s="3"/>
      <c r="C186" s="125"/>
      <c r="D186" s="126"/>
      <c r="E186" s="126"/>
      <c r="F186" s="126"/>
      <c r="G186" s="126"/>
      <c r="H186" s="126"/>
      <c r="I186" s="126"/>
      <c r="J186" s="3"/>
      <c r="K186" s="3"/>
      <c r="L186" s="3"/>
      <c r="N186" s="29"/>
      <c r="O186" s="29"/>
      <c r="P186" s="29"/>
      <c r="Q186" s="29"/>
      <c r="R186" s="29"/>
      <c r="S186" s="29"/>
      <c r="T186" s="29"/>
      <c r="U186" s="29"/>
      <c r="V186" s="29"/>
      <c r="W186" s="29"/>
      <c r="X186" s="30"/>
      <c r="Y186" s="30"/>
      <c r="Z186" s="121"/>
    </row>
    <row r="187" spans="1:26" s="2" customFormat="1" ht="54.95" customHeight="1">
      <c r="A187" s="3"/>
      <c r="B187" s="3"/>
      <c r="C187" s="125"/>
      <c r="D187" s="126"/>
      <c r="E187" s="126"/>
      <c r="F187" s="126"/>
      <c r="G187" s="126"/>
      <c r="H187" s="126"/>
      <c r="I187" s="126"/>
      <c r="J187" s="3"/>
      <c r="K187" s="3"/>
      <c r="L187" s="3"/>
      <c r="N187" s="29"/>
      <c r="O187" s="29"/>
      <c r="P187" s="29"/>
      <c r="Q187" s="29"/>
      <c r="R187" s="29"/>
      <c r="S187" s="29"/>
      <c r="T187" s="29"/>
      <c r="U187" s="29"/>
      <c r="V187" s="29"/>
      <c r="W187" s="29"/>
      <c r="X187" s="30"/>
      <c r="Y187" s="30"/>
      <c r="Z187" s="121"/>
    </row>
    <row r="188" spans="1:26" s="2" customFormat="1" ht="54.95" customHeight="1">
      <c r="A188" s="3"/>
      <c r="B188" s="3"/>
      <c r="C188" s="125"/>
      <c r="D188" s="126"/>
      <c r="E188" s="126"/>
      <c r="F188" s="126"/>
      <c r="G188" s="126"/>
      <c r="H188" s="126"/>
      <c r="I188" s="126"/>
      <c r="J188" s="3"/>
      <c r="K188" s="3"/>
      <c r="L188" s="3"/>
      <c r="N188" s="29"/>
      <c r="O188" s="29"/>
      <c r="P188" s="29"/>
      <c r="Q188" s="29"/>
      <c r="R188" s="29"/>
      <c r="S188" s="29"/>
      <c r="T188" s="29"/>
      <c r="U188" s="29"/>
      <c r="V188" s="29"/>
      <c r="W188" s="29"/>
      <c r="X188" s="30"/>
      <c r="Y188" s="30"/>
      <c r="Z188" s="121"/>
    </row>
    <row r="189" spans="1:26" s="2" customFormat="1" ht="54.95" customHeight="1">
      <c r="A189" s="3"/>
      <c r="B189" s="3"/>
      <c r="C189" s="125"/>
      <c r="D189" s="126"/>
      <c r="E189" s="126"/>
      <c r="F189" s="126"/>
      <c r="G189" s="126"/>
      <c r="H189" s="126"/>
      <c r="I189" s="126"/>
      <c r="J189" s="3"/>
      <c r="K189" s="3"/>
      <c r="L189" s="3"/>
      <c r="N189" s="29"/>
      <c r="O189" s="29"/>
      <c r="P189" s="29"/>
      <c r="Q189" s="29"/>
      <c r="R189" s="29"/>
      <c r="S189" s="29"/>
      <c r="T189" s="29"/>
      <c r="U189" s="29"/>
      <c r="V189" s="29"/>
      <c r="W189" s="29"/>
      <c r="X189" s="30"/>
      <c r="Y189" s="30"/>
      <c r="Z189" s="121"/>
    </row>
    <row r="190" spans="1:26" s="2" customFormat="1" ht="54.95" customHeight="1">
      <c r="A190" s="3"/>
      <c r="B190" s="3"/>
      <c r="C190" s="125"/>
      <c r="D190" s="126"/>
      <c r="E190" s="126"/>
      <c r="F190" s="126"/>
      <c r="G190" s="126"/>
      <c r="H190" s="126"/>
      <c r="I190" s="126"/>
      <c r="J190" s="3"/>
      <c r="K190" s="3"/>
      <c r="L190" s="3"/>
      <c r="N190" s="29"/>
      <c r="O190" s="29"/>
      <c r="P190" s="29"/>
      <c r="Q190" s="29"/>
      <c r="R190" s="29"/>
      <c r="S190" s="29"/>
      <c r="T190" s="29"/>
      <c r="U190" s="29"/>
      <c r="V190" s="29"/>
      <c r="W190" s="29"/>
      <c r="X190" s="30"/>
      <c r="Y190" s="30"/>
      <c r="Z190" s="121"/>
    </row>
    <row r="191" spans="1:26" s="2" customFormat="1" ht="54.95" customHeight="1">
      <c r="A191" s="3"/>
      <c r="B191" s="3"/>
      <c r="C191" s="125"/>
      <c r="D191" s="126"/>
      <c r="E191" s="126"/>
      <c r="F191" s="126"/>
      <c r="G191" s="126"/>
      <c r="H191" s="126"/>
      <c r="I191" s="126"/>
      <c r="J191" s="3"/>
      <c r="K191" s="3"/>
      <c r="L191" s="3"/>
      <c r="N191" s="29"/>
      <c r="O191" s="29"/>
      <c r="P191" s="29"/>
      <c r="Q191" s="29"/>
      <c r="R191" s="29"/>
      <c r="S191" s="29"/>
      <c r="T191" s="29"/>
      <c r="U191" s="29"/>
      <c r="V191" s="29"/>
      <c r="W191" s="29"/>
      <c r="X191" s="30"/>
      <c r="Y191" s="30"/>
      <c r="Z191" s="121"/>
    </row>
    <row r="192" spans="1:26" s="2" customFormat="1" ht="54.95" customHeight="1">
      <c r="C192" s="135"/>
      <c r="D192" s="136"/>
      <c r="E192" s="136"/>
      <c r="F192" s="136"/>
      <c r="G192" s="136"/>
      <c r="H192" s="136"/>
      <c r="I192" s="136"/>
      <c r="N192" s="124"/>
      <c r="O192" s="124"/>
      <c r="P192" s="124"/>
      <c r="Q192" s="124"/>
      <c r="R192" s="124"/>
      <c r="S192" s="124"/>
      <c r="T192" s="124"/>
      <c r="U192" s="124"/>
      <c r="V192" s="124"/>
      <c r="W192" s="124"/>
      <c r="X192" s="121"/>
      <c r="Y192" s="121"/>
      <c r="Z192" s="121"/>
    </row>
    <row r="193" spans="1:26" s="15" customFormat="1" ht="54.95" hidden="1" customHeight="1">
      <c r="B193" s="15" t="str">
        <f>$A$17</f>
        <v>كميت سنجه عملكرد همسان شده :</v>
      </c>
      <c r="C193" s="128" t="s">
        <v>161</v>
      </c>
      <c r="D193" s="129">
        <f>$L$17*[34]روکش!$D$3</f>
        <v>0</v>
      </c>
      <c r="E193" s="129"/>
      <c r="F193" s="129"/>
      <c r="G193" s="129"/>
      <c r="H193" s="129"/>
      <c r="I193" s="129"/>
      <c r="N193" s="29"/>
      <c r="O193" s="29"/>
      <c r="P193" s="29"/>
      <c r="Q193" s="29"/>
      <c r="R193" s="29"/>
      <c r="S193" s="29"/>
      <c r="T193" s="29"/>
      <c r="U193" s="29"/>
      <c r="V193" s="29"/>
      <c r="W193" s="29"/>
      <c r="X193" s="30"/>
      <c r="Y193" s="30"/>
      <c r="Z193" s="30"/>
    </row>
    <row r="194" spans="1:26" s="15" customFormat="1" ht="54.95" hidden="1" customHeight="1">
      <c r="C194" s="128" t="s">
        <v>355</v>
      </c>
      <c r="D194" s="129">
        <f>$M$17*[34]روکش!$D$3</f>
        <v>0</v>
      </c>
      <c r="E194" s="129"/>
      <c r="F194" s="129"/>
      <c r="G194" s="129"/>
      <c r="H194" s="129"/>
      <c r="I194" s="129"/>
      <c r="N194" s="29"/>
      <c r="O194" s="29"/>
      <c r="P194" s="29"/>
      <c r="Q194" s="29"/>
      <c r="R194" s="29"/>
      <c r="S194" s="29"/>
      <c r="T194" s="29"/>
      <c r="U194" s="29"/>
      <c r="V194" s="29"/>
      <c r="W194" s="29"/>
      <c r="X194" s="30"/>
      <c r="Y194" s="30"/>
      <c r="Z194" s="30"/>
    </row>
    <row r="195" spans="1:26" s="2" customFormat="1" ht="54.95" customHeight="1">
      <c r="C195" s="135"/>
      <c r="D195" s="136"/>
      <c r="E195" s="136"/>
      <c r="F195" s="136"/>
      <c r="G195" s="136"/>
      <c r="H195" s="136"/>
      <c r="I195" s="136"/>
      <c r="N195" s="124"/>
      <c r="O195" s="124"/>
      <c r="P195" s="124"/>
      <c r="Q195" s="124"/>
      <c r="R195" s="124"/>
      <c r="S195" s="124"/>
      <c r="T195" s="124"/>
      <c r="U195" s="124"/>
      <c r="V195" s="124"/>
      <c r="W195" s="124"/>
      <c r="X195" s="121"/>
      <c r="Y195" s="121"/>
      <c r="Z195" s="121"/>
    </row>
    <row r="196" spans="1:26" s="2" customFormat="1" ht="54.95" customHeight="1">
      <c r="A196" s="3"/>
      <c r="B196" s="3"/>
      <c r="C196" s="125"/>
      <c r="D196" s="126"/>
      <c r="E196" s="126"/>
      <c r="F196" s="126"/>
      <c r="G196" s="126"/>
      <c r="H196" s="126"/>
      <c r="I196" s="126"/>
      <c r="J196" s="3"/>
      <c r="K196" s="3"/>
      <c r="L196" s="3"/>
      <c r="N196" s="29"/>
      <c r="O196" s="29"/>
      <c r="P196" s="29"/>
      <c r="Q196" s="29"/>
      <c r="R196" s="29"/>
      <c r="S196" s="29"/>
      <c r="T196" s="29"/>
      <c r="U196" s="29"/>
      <c r="V196" s="29"/>
      <c r="W196" s="29"/>
      <c r="X196" s="30"/>
      <c r="Y196" s="30"/>
      <c r="Z196" s="121"/>
    </row>
    <row r="197" spans="1:26" s="2" customFormat="1" ht="54.95" customHeight="1">
      <c r="A197" s="3"/>
      <c r="B197" s="3"/>
      <c r="C197" s="125"/>
      <c r="D197" s="126"/>
      <c r="E197" s="126"/>
      <c r="F197" s="126"/>
      <c r="G197" s="126"/>
      <c r="H197" s="126"/>
      <c r="I197" s="126"/>
      <c r="J197" s="3"/>
      <c r="K197" s="3"/>
      <c r="L197" s="3"/>
      <c r="N197" s="29"/>
      <c r="O197" s="29"/>
      <c r="P197" s="29"/>
      <c r="Q197" s="29"/>
      <c r="R197" s="29"/>
      <c r="S197" s="29"/>
      <c r="T197" s="29"/>
      <c r="U197" s="29"/>
      <c r="V197" s="29"/>
      <c r="W197" s="29"/>
      <c r="X197" s="30"/>
      <c r="Y197" s="30"/>
      <c r="Z197" s="121"/>
    </row>
    <row r="198" spans="1:26" s="2" customFormat="1" ht="54.95" customHeight="1">
      <c r="A198" s="3"/>
      <c r="B198" s="3"/>
      <c r="C198" s="125"/>
      <c r="D198" s="126"/>
      <c r="E198" s="126"/>
      <c r="F198" s="126"/>
      <c r="G198" s="126"/>
      <c r="H198" s="126"/>
      <c r="I198" s="126"/>
      <c r="J198" s="3"/>
      <c r="K198" s="3"/>
      <c r="L198" s="3"/>
      <c r="N198" s="29"/>
      <c r="O198" s="29"/>
      <c r="P198" s="29"/>
      <c r="Q198" s="29"/>
      <c r="R198" s="29"/>
      <c r="S198" s="29"/>
      <c r="T198" s="29"/>
      <c r="U198" s="29"/>
      <c r="V198" s="29"/>
      <c r="W198" s="29"/>
      <c r="X198" s="30"/>
      <c r="Y198" s="30"/>
      <c r="Z198" s="121"/>
    </row>
    <row r="199" spans="1:26" s="2" customFormat="1" ht="54.95" customHeight="1">
      <c r="A199" s="3"/>
      <c r="B199" s="3"/>
      <c r="C199" s="125"/>
      <c r="D199" s="126"/>
      <c r="E199" s="126"/>
      <c r="F199" s="126"/>
      <c r="G199" s="126"/>
      <c r="H199" s="126"/>
      <c r="I199" s="126"/>
      <c r="J199" s="3"/>
      <c r="K199" s="3"/>
      <c r="L199" s="3"/>
      <c r="N199" s="29"/>
      <c r="O199" s="29"/>
      <c r="P199" s="29"/>
      <c r="Q199" s="29"/>
      <c r="R199" s="29"/>
      <c r="S199" s="29"/>
      <c r="T199" s="29"/>
      <c r="U199" s="29"/>
      <c r="V199" s="29"/>
      <c r="W199" s="29"/>
      <c r="X199" s="30"/>
      <c r="Y199" s="30"/>
      <c r="Z199" s="121"/>
    </row>
    <row r="200" spans="1:26" s="2" customFormat="1" ht="54.95" customHeight="1">
      <c r="A200" s="3"/>
      <c r="B200" s="3"/>
      <c r="C200" s="125"/>
      <c r="D200" s="126"/>
      <c r="E200" s="126"/>
      <c r="F200" s="126"/>
      <c r="G200" s="126"/>
      <c r="H200" s="126"/>
      <c r="I200" s="126"/>
      <c r="J200" s="3"/>
      <c r="K200" s="3"/>
      <c r="L200" s="3"/>
      <c r="N200" s="29"/>
      <c r="O200" s="29"/>
      <c r="P200" s="29"/>
      <c r="Q200" s="29"/>
      <c r="R200" s="29"/>
      <c r="S200" s="29"/>
      <c r="T200" s="29"/>
      <c r="U200" s="29"/>
      <c r="V200" s="29"/>
      <c r="W200" s="29"/>
      <c r="X200" s="30"/>
      <c r="Y200" s="30"/>
      <c r="Z200" s="121"/>
    </row>
    <row r="201" spans="1:26" s="2" customFormat="1" ht="54.95" customHeight="1">
      <c r="A201" s="3"/>
      <c r="B201" s="3"/>
      <c r="C201" s="125"/>
      <c r="D201" s="126"/>
      <c r="E201" s="126"/>
      <c r="F201" s="126"/>
      <c r="G201" s="126"/>
      <c r="H201" s="126"/>
      <c r="I201" s="126"/>
      <c r="J201" s="3"/>
      <c r="K201" s="3"/>
      <c r="L201" s="3"/>
      <c r="N201" s="29"/>
      <c r="O201" s="29"/>
      <c r="P201" s="29"/>
      <c r="Q201" s="29"/>
      <c r="R201" s="29"/>
      <c r="S201" s="29"/>
      <c r="T201" s="29"/>
      <c r="U201" s="29"/>
      <c r="V201" s="29"/>
      <c r="W201" s="29"/>
      <c r="X201" s="30"/>
      <c r="Y201" s="30"/>
      <c r="Z201" s="121"/>
    </row>
    <row r="202" spans="1:26" ht="54.95" customHeight="1"/>
    <row r="203" spans="1:26" ht="54.95" customHeight="1"/>
    <row r="204" spans="1:26" ht="54.95" customHeight="1"/>
    <row r="205" spans="1:26" ht="54.95" customHeight="1"/>
    <row r="206" spans="1:26" ht="54.95" customHeight="1"/>
    <row r="207" spans="1:26" ht="54.95" customHeight="1"/>
    <row r="208" spans="1:26" ht="54.95" customHeight="1"/>
    <row r="209" ht="54.95" customHeight="1"/>
    <row r="210" ht="54.95" customHeight="1"/>
    <row r="211" ht="54.95" customHeight="1"/>
    <row r="212" ht="54.95" customHeight="1"/>
    <row r="213" ht="54.95" customHeight="1"/>
    <row r="214" ht="54.95" customHeight="1"/>
    <row r="215" ht="54.95" customHeight="1"/>
    <row r="216" ht="54.95" customHeight="1"/>
    <row r="217" ht="54.95" customHeight="1"/>
    <row r="218" ht="54.95" customHeight="1"/>
    <row r="219" ht="54.95" customHeight="1"/>
    <row r="220" ht="54.95" customHeight="1"/>
    <row r="221" ht="54.95" customHeight="1"/>
    <row r="222" ht="54.95" customHeight="1"/>
    <row r="223" ht="54.95" customHeight="1"/>
    <row r="224" ht="54.95" customHeight="1"/>
    <row r="225" ht="54.95" customHeight="1"/>
    <row r="226" ht="54.95" customHeight="1"/>
    <row r="227" ht="54.95" customHeight="1"/>
    <row r="228" ht="54.95" customHeight="1"/>
    <row r="229" ht="54.95" customHeight="1"/>
    <row r="230" ht="54.95" customHeight="1"/>
    <row r="231" ht="54.95" customHeight="1"/>
    <row r="232" ht="54.95" customHeight="1"/>
    <row r="233" ht="54.95" customHeight="1"/>
    <row r="234" ht="54.95" customHeight="1"/>
    <row r="235" ht="54.95" customHeight="1"/>
    <row r="236" ht="54.95" customHeight="1"/>
    <row r="237" ht="54.95" customHeight="1"/>
    <row r="238" ht="54.95" customHeight="1"/>
    <row r="239" ht="54.95" customHeight="1"/>
    <row r="240" ht="54.95" customHeight="1"/>
    <row r="241" ht="54.95" customHeight="1"/>
    <row r="242" ht="54.95" customHeight="1"/>
    <row r="243" ht="54.95" customHeight="1"/>
    <row r="244" ht="54.95" customHeight="1"/>
    <row r="245" ht="54.95" customHeight="1"/>
    <row r="246" ht="54.95" customHeight="1"/>
    <row r="247" ht="54.95" customHeight="1"/>
    <row r="248" ht="54.95" customHeight="1"/>
    <row r="249" ht="54.95" customHeight="1"/>
    <row r="250" ht="54.95" customHeight="1"/>
    <row r="251" ht="54.95" customHeight="1"/>
    <row r="252" ht="54.95" customHeight="1"/>
    <row r="253" ht="54.95" customHeight="1"/>
    <row r="254" ht="54.95" customHeight="1"/>
    <row r="255" ht="54.95" customHeight="1"/>
    <row r="256" ht="54.95" customHeight="1"/>
    <row r="257" ht="54.95" customHeight="1"/>
    <row r="258" ht="54.95" customHeight="1"/>
    <row r="259" ht="54.95" customHeight="1"/>
    <row r="260" ht="54.95" customHeight="1"/>
    <row r="261" ht="54.95" customHeight="1"/>
    <row r="262" ht="54.95" customHeight="1"/>
    <row r="263" ht="54.95" customHeight="1"/>
    <row r="264" ht="54.95" customHeight="1"/>
    <row r="265" ht="54.95" customHeight="1"/>
    <row r="266" ht="54.95" customHeight="1"/>
    <row r="267" ht="54.95" customHeight="1"/>
    <row r="268" ht="54.95" customHeight="1"/>
  </sheetData>
  <mergeCells count="13">
    <mergeCell ref="A17:B17"/>
    <mergeCell ref="C17:K17"/>
    <mergeCell ref="A18:L18"/>
    <mergeCell ref="A1:M1"/>
    <mergeCell ref="B2:B3"/>
    <mergeCell ref="C2:C3"/>
    <mergeCell ref="D2:G2"/>
    <mergeCell ref="H2:H3"/>
    <mergeCell ref="I2:I3"/>
    <mergeCell ref="J2:J3"/>
    <mergeCell ref="K2:K3"/>
    <mergeCell ref="L2:L3"/>
    <mergeCell ref="M2:M3"/>
  </mergeCells>
  <pageMargins left="0.7" right="0.7" top="0.75" bottom="0.75" header="0.3" footer="0.3"/>
  <pageSetup paperSize="9" scale="57" orientation="portrait" r:id="rId1"/>
  <drawing r:id="rId2"/>
  <legacyDrawing r:id="rId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6"/>
  <sheetViews>
    <sheetView showGridLines="0" rightToLeft="1" topLeftCell="A13" workbookViewId="0">
      <selection activeCell="I15" sqref="I15"/>
    </sheetView>
  </sheetViews>
  <sheetFormatPr defaultColWidth="25" defaultRowHeight="54.95" customHeight="1"/>
  <cols>
    <col min="1" max="1" width="5" style="147" customWidth="1"/>
    <col min="2" max="2" width="10.5" style="147" customWidth="1"/>
    <col min="3" max="3" width="24.83203125" style="147" customWidth="1"/>
    <col min="4" max="12" width="7" style="147" customWidth="1"/>
    <col min="13" max="20" width="7" style="318" customWidth="1"/>
    <col min="21" max="28" width="7" style="147" customWidth="1"/>
    <col min="29" max="29" width="4.33203125" style="147" customWidth="1"/>
    <col min="30" max="16384" width="25" style="147"/>
  </cols>
  <sheetData>
    <row r="1" spans="1:29" ht="33" customHeight="1" thickBot="1">
      <c r="A1" s="514" t="s">
        <v>726</v>
      </c>
      <c r="B1" s="515"/>
      <c r="C1" s="515"/>
      <c r="D1" s="515"/>
      <c r="E1" s="515"/>
      <c r="F1" s="515"/>
      <c r="G1" s="515"/>
      <c r="H1" s="515"/>
      <c r="I1" s="515"/>
      <c r="J1" s="515"/>
      <c r="K1" s="515"/>
      <c r="L1" s="515"/>
      <c r="M1" s="515"/>
      <c r="N1" s="515"/>
      <c r="O1" s="515"/>
      <c r="P1" s="515"/>
      <c r="Q1" s="515"/>
      <c r="R1" s="515"/>
      <c r="S1" s="515"/>
      <c r="T1" s="515"/>
      <c r="U1" s="515"/>
      <c r="V1" s="515"/>
      <c r="W1" s="515"/>
      <c r="X1" s="515"/>
      <c r="Y1" s="515"/>
      <c r="Z1" s="515"/>
      <c r="AA1" s="515"/>
      <c r="AB1" s="515"/>
      <c r="AC1" s="514"/>
    </row>
    <row r="2" spans="1:29" s="146" customFormat="1" ht="30" customHeight="1">
      <c r="A2" s="516"/>
      <c r="B2" s="518" t="s">
        <v>0</v>
      </c>
      <c r="C2" s="520" t="s">
        <v>626</v>
      </c>
      <c r="D2" s="521" t="s">
        <v>697</v>
      </c>
      <c r="E2" s="523">
        <v>1399</v>
      </c>
      <c r="F2" s="524"/>
      <c r="G2" s="524"/>
      <c r="H2" s="524"/>
      <c r="I2" s="524"/>
      <c r="J2" s="524"/>
      <c r="K2" s="524"/>
      <c r="L2" s="525"/>
      <c r="M2" s="507">
        <v>1400</v>
      </c>
      <c r="N2" s="508"/>
      <c r="O2" s="508"/>
      <c r="P2" s="508"/>
      <c r="Q2" s="508"/>
      <c r="R2" s="508"/>
      <c r="S2" s="508"/>
      <c r="T2" s="509"/>
      <c r="U2" s="523">
        <v>1401</v>
      </c>
      <c r="V2" s="524"/>
      <c r="W2" s="524"/>
      <c r="X2" s="524"/>
      <c r="Y2" s="524"/>
      <c r="Z2" s="524"/>
      <c r="AA2" s="524"/>
      <c r="AB2" s="525"/>
      <c r="AC2" s="526"/>
    </row>
    <row r="3" spans="1:29" s="146" customFormat="1" ht="81" customHeight="1">
      <c r="A3" s="516"/>
      <c r="B3" s="519"/>
      <c r="C3" s="496"/>
      <c r="D3" s="522"/>
      <c r="E3" s="331" t="s">
        <v>711</v>
      </c>
      <c r="F3" s="317" t="s">
        <v>712</v>
      </c>
      <c r="G3" s="317" t="s">
        <v>713</v>
      </c>
      <c r="H3" s="317" t="s">
        <v>714</v>
      </c>
      <c r="I3" s="480" t="s">
        <v>715</v>
      </c>
      <c r="J3" s="480"/>
      <c r="K3" s="480" t="s">
        <v>716</v>
      </c>
      <c r="L3" s="528"/>
      <c r="M3" s="331" t="s">
        <v>711</v>
      </c>
      <c r="N3" s="317" t="s">
        <v>712</v>
      </c>
      <c r="O3" s="317" t="s">
        <v>713</v>
      </c>
      <c r="P3" s="317" t="s">
        <v>714</v>
      </c>
      <c r="Q3" s="479" t="s">
        <v>715</v>
      </c>
      <c r="R3" s="478"/>
      <c r="S3" s="479" t="s">
        <v>716</v>
      </c>
      <c r="T3" s="512"/>
      <c r="U3" s="331" t="s">
        <v>711</v>
      </c>
      <c r="V3" s="317" t="s">
        <v>712</v>
      </c>
      <c r="W3" s="317" t="s">
        <v>713</v>
      </c>
      <c r="X3" s="317" t="s">
        <v>714</v>
      </c>
      <c r="Y3" s="480" t="s">
        <v>715</v>
      </c>
      <c r="Z3" s="480"/>
      <c r="AA3" s="480" t="s">
        <v>716</v>
      </c>
      <c r="AB3" s="528"/>
      <c r="AC3" s="526"/>
    </row>
    <row r="4" spans="1:29" s="146" customFormat="1" ht="65.099999999999994" customHeight="1" thickBot="1">
      <c r="A4" s="516"/>
      <c r="B4" s="328" t="s">
        <v>629</v>
      </c>
      <c r="C4" s="329" t="s">
        <v>717</v>
      </c>
      <c r="D4" s="330" t="s">
        <v>2</v>
      </c>
      <c r="E4" s="332"/>
      <c r="F4" s="333"/>
      <c r="G4" s="333"/>
      <c r="H4" s="333"/>
      <c r="I4" s="529"/>
      <c r="J4" s="529"/>
      <c r="K4" s="529"/>
      <c r="L4" s="530"/>
      <c r="M4" s="332"/>
      <c r="N4" s="333"/>
      <c r="O4" s="333"/>
      <c r="P4" s="333"/>
      <c r="Q4" s="333"/>
      <c r="R4" s="333"/>
      <c r="S4" s="333"/>
      <c r="T4" s="334"/>
      <c r="U4" s="332"/>
      <c r="V4" s="333"/>
      <c r="W4" s="333"/>
      <c r="X4" s="333"/>
      <c r="Y4" s="531"/>
      <c r="Z4" s="531"/>
      <c r="AA4" s="531"/>
      <c r="AB4" s="532"/>
      <c r="AC4" s="526"/>
    </row>
    <row r="5" spans="1:29" s="146" customFormat="1" ht="30" customHeight="1">
      <c r="A5" s="516"/>
      <c r="B5" s="518" t="s">
        <v>0</v>
      </c>
      <c r="C5" s="520" t="s">
        <v>626</v>
      </c>
      <c r="D5" s="521" t="s">
        <v>697</v>
      </c>
      <c r="E5" s="523">
        <v>1399</v>
      </c>
      <c r="F5" s="524"/>
      <c r="G5" s="524"/>
      <c r="H5" s="524"/>
      <c r="I5" s="524"/>
      <c r="J5" s="524"/>
      <c r="K5" s="524"/>
      <c r="L5" s="525"/>
      <c r="M5" s="507">
        <v>1400</v>
      </c>
      <c r="N5" s="508"/>
      <c r="O5" s="508"/>
      <c r="P5" s="508"/>
      <c r="Q5" s="508"/>
      <c r="R5" s="508"/>
      <c r="S5" s="508"/>
      <c r="T5" s="509"/>
      <c r="U5" s="523">
        <v>1401</v>
      </c>
      <c r="V5" s="524"/>
      <c r="W5" s="524"/>
      <c r="X5" s="524"/>
      <c r="Y5" s="524"/>
      <c r="Z5" s="524"/>
      <c r="AA5" s="524"/>
      <c r="AB5" s="525"/>
      <c r="AC5" s="526"/>
    </row>
    <row r="6" spans="1:29" s="146" customFormat="1" ht="81" customHeight="1">
      <c r="A6" s="516"/>
      <c r="B6" s="519"/>
      <c r="C6" s="496"/>
      <c r="D6" s="522"/>
      <c r="E6" s="533" t="s">
        <v>681</v>
      </c>
      <c r="F6" s="480"/>
      <c r="G6" s="480" t="s">
        <v>682</v>
      </c>
      <c r="H6" s="480"/>
      <c r="I6" s="480" t="s">
        <v>683</v>
      </c>
      <c r="J6" s="480"/>
      <c r="K6" s="480" t="s">
        <v>684</v>
      </c>
      <c r="L6" s="528"/>
      <c r="M6" s="513" t="s">
        <v>681</v>
      </c>
      <c r="N6" s="478"/>
      <c r="O6" s="479" t="s">
        <v>682</v>
      </c>
      <c r="P6" s="478"/>
      <c r="Q6" s="479" t="s">
        <v>683</v>
      </c>
      <c r="R6" s="478"/>
      <c r="S6" s="479" t="s">
        <v>684</v>
      </c>
      <c r="T6" s="512"/>
      <c r="U6" s="533" t="s">
        <v>681</v>
      </c>
      <c r="V6" s="480"/>
      <c r="W6" s="480" t="s">
        <v>682</v>
      </c>
      <c r="X6" s="480"/>
      <c r="Y6" s="480" t="s">
        <v>683</v>
      </c>
      <c r="Z6" s="480"/>
      <c r="AA6" s="480" t="s">
        <v>684</v>
      </c>
      <c r="AB6" s="528"/>
      <c r="AC6" s="526"/>
    </row>
    <row r="7" spans="1:29" s="146" customFormat="1" ht="65.099999999999994" customHeight="1" thickBot="1">
      <c r="A7" s="516"/>
      <c r="B7" s="328" t="s">
        <v>630</v>
      </c>
      <c r="C7" s="329" t="s">
        <v>718</v>
      </c>
      <c r="D7" s="330" t="s">
        <v>2</v>
      </c>
      <c r="E7" s="534"/>
      <c r="F7" s="529"/>
      <c r="G7" s="529"/>
      <c r="H7" s="529"/>
      <c r="I7" s="529"/>
      <c r="J7" s="529"/>
      <c r="K7" s="529"/>
      <c r="L7" s="530"/>
      <c r="M7" s="535"/>
      <c r="N7" s="536"/>
      <c r="O7" s="510"/>
      <c r="P7" s="536"/>
      <c r="Q7" s="510"/>
      <c r="R7" s="536"/>
      <c r="S7" s="510"/>
      <c r="T7" s="511"/>
      <c r="U7" s="534"/>
      <c r="V7" s="529"/>
      <c r="W7" s="529"/>
      <c r="X7" s="529"/>
      <c r="Y7" s="529"/>
      <c r="Z7" s="529"/>
      <c r="AA7" s="529"/>
      <c r="AB7" s="530"/>
      <c r="AC7" s="526"/>
    </row>
    <row r="8" spans="1:29" s="146" customFormat="1" ht="30" customHeight="1">
      <c r="A8" s="516"/>
      <c r="B8" s="518" t="s">
        <v>0</v>
      </c>
      <c r="C8" s="520" t="s">
        <v>626</v>
      </c>
      <c r="D8" s="521" t="s">
        <v>697</v>
      </c>
      <c r="E8" s="523">
        <v>1399</v>
      </c>
      <c r="F8" s="524"/>
      <c r="G8" s="524"/>
      <c r="H8" s="524"/>
      <c r="I8" s="524"/>
      <c r="J8" s="524"/>
      <c r="K8" s="524"/>
      <c r="L8" s="525"/>
      <c r="M8" s="507">
        <v>1400</v>
      </c>
      <c r="N8" s="508"/>
      <c r="O8" s="508"/>
      <c r="P8" s="508"/>
      <c r="Q8" s="508"/>
      <c r="R8" s="508"/>
      <c r="S8" s="508"/>
      <c r="T8" s="509"/>
      <c r="U8" s="523">
        <v>1401</v>
      </c>
      <c r="V8" s="524"/>
      <c r="W8" s="524"/>
      <c r="X8" s="524"/>
      <c r="Y8" s="524"/>
      <c r="Z8" s="524"/>
      <c r="AA8" s="524"/>
      <c r="AB8" s="525"/>
      <c r="AC8" s="526"/>
    </row>
    <row r="9" spans="1:29" s="146" customFormat="1" ht="81" customHeight="1">
      <c r="A9" s="516"/>
      <c r="B9" s="519"/>
      <c r="C9" s="496"/>
      <c r="D9" s="522"/>
      <c r="E9" s="331" t="s">
        <v>688</v>
      </c>
      <c r="F9" s="317" t="s">
        <v>689</v>
      </c>
      <c r="G9" s="317" t="s">
        <v>690</v>
      </c>
      <c r="H9" s="317" t="s">
        <v>691</v>
      </c>
      <c r="I9" s="317" t="s">
        <v>692</v>
      </c>
      <c r="J9" s="317" t="s">
        <v>693</v>
      </c>
      <c r="K9" s="317" t="s">
        <v>694</v>
      </c>
      <c r="L9" s="335" t="s">
        <v>695</v>
      </c>
      <c r="M9" s="331" t="s">
        <v>688</v>
      </c>
      <c r="N9" s="317" t="s">
        <v>689</v>
      </c>
      <c r="O9" s="317" t="s">
        <v>690</v>
      </c>
      <c r="P9" s="317" t="s">
        <v>691</v>
      </c>
      <c r="Q9" s="317" t="s">
        <v>692</v>
      </c>
      <c r="R9" s="317" t="s">
        <v>693</v>
      </c>
      <c r="S9" s="317" t="s">
        <v>694</v>
      </c>
      <c r="T9" s="335" t="s">
        <v>695</v>
      </c>
      <c r="U9" s="331" t="s">
        <v>688</v>
      </c>
      <c r="V9" s="317" t="s">
        <v>689</v>
      </c>
      <c r="W9" s="317" t="s">
        <v>690</v>
      </c>
      <c r="X9" s="317" t="s">
        <v>691</v>
      </c>
      <c r="Y9" s="317" t="s">
        <v>692</v>
      </c>
      <c r="Z9" s="317" t="s">
        <v>693</v>
      </c>
      <c r="AA9" s="317" t="s">
        <v>694</v>
      </c>
      <c r="AB9" s="335" t="s">
        <v>695</v>
      </c>
      <c r="AC9" s="526"/>
    </row>
    <row r="10" spans="1:29" s="146" customFormat="1" ht="50.1" customHeight="1" thickBot="1">
      <c r="A10" s="516"/>
      <c r="B10" s="328" t="s">
        <v>631</v>
      </c>
      <c r="C10" s="329" t="s">
        <v>719</v>
      </c>
      <c r="D10" s="330" t="s">
        <v>2</v>
      </c>
      <c r="E10" s="332"/>
      <c r="F10" s="333"/>
      <c r="G10" s="333"/>
      <c r="H10" s="333"/>
      <c r="I10" s="333"/>
      <c r="J10" s="333"/>
      <c r="K10" s="333"/>
      <c r="L10" s="334"/>
      <c r="M10" s="332"/>
      <c r="N10" s="333"/>
      <c r="O10" s="333"/>
      <c r="P10" s="333"/>
      <c r="Q10" s="333"/>
      <c r="R10" s="333"/>
      <c r="S10" s="333"/>
      <c r="T10" s="334"/>
      <c r="U10" s="332"/>
      <c r="V10" s="333"/>
      <c r="W10" s="333"/>
      <c r="X10" s="333"/>
      <c r="Y10" s="333"/>
      <c r="Z10" s="333"/>
      <c r="AA10" s="333"/>
      <c r="AB10" s="334"/>
      <c r="AC10" s="526"/>
    </row>
    <row r="11" spans="1:29" s="146" customFormat="1" ht="30" customHeight="1">
      <c r="A11" s="516"/>
      <c r="B11" s="518" t="s">
        <v>0</v>
      </c>
      <c r="C11" s="520" t="s">
        <v>626</v>
      </c>
      <c r="D11" s="521" t="s">
        <v>697</v>
      </c>
      <c r="E11" s="523">
        <v>1398</v>
      </c>
      <c r="F11" s="524"/>
      <c r="G11" s="524"/>
      <c r="H11" s="524"/>
      <c r="I11" s="524"/>
      <c r="J11" s="524"/>
      <c r="K11" s="524"/>
      <c r="L11" s="525"/>
      <c r="M11" s="507">
        <v>1399</v>
      </c>
      <c r="N11" s="508"/>
      <c r="O11" s="508"/>
      <c r="P11" s="508"/>
      <c r="Q11" s="508"/>
      <c r="R11" s="508"/>
      <c r="S11" s="508"/>
      <c r="T11" s="509"/>
      <c r="U11" s="523">
        <v>1400</v>
      </c>
      <c r="V11" s="524"/>
      <c r="W11" s="524"/>
      <c r="X11" s="524"/>
      <c r="Y11" s="524"/>
      <c r="Z11" s="524"/>
      <c r="AA11" s="524"/>
      <c r="AB11" s="525"/>
      <c r="AC11" s="526"/>
    </row>
    <row r="12" spans="1:29" s="146" customFormat="1" ht="81" customHeight="1">
      <c r="A12" s="516"/>
      <c r="B12" s="519"/>
      <c r="C12" s="496"/>
      <c r="D12" s="522"/>
      <c r="E12" s="331" t="s">
        <v>698</v>
      </c>
      <c r="F12" s="317" t="s">
        <v>699</v>
      </c>
      <c r="G12" s="317" t="s">
        <v>700</v>
      </c>
      <c r="H12" s="317" t="s">
        <v>701</v>
      </c>
      <c r="I12" s="480" t="s">
        <v>702</v>
      </c>
      <c r="J12" s="480"/>
      <c r="K12" s="480" t="s">
        <v>703</v>
      </c>
      <c r="L12" s="528"/>
      <c r="M12" s="331" t="s">
        <v>698</v>
      </c>
      <c r="N12" s="317" t="s">
        <v>699</v>
      </c>
      <c r="O12" s="317" t="s">
        <v>700</v>
      </c>
      <c r="P12" s="317" t="s">
        <v>701</v>
      </c>
      <c r="Q12" s="479" t="s">
        <v>702</v>
      </c>
      <c r="R12" s="478"/>
      <c r="S12" s="479" t="s">
        <v>703</v>
      </c>
      <c r="T12" s="512"/>
      <c r="U12" s="331" t="s">
        <v>698</v>
      </c>
      <c r="V12" s="317" t="s">
        <v>699</v>
      </c>
      <c r="W12" s="317" t="s">
        <v>700</v>
      </c>
      <c r="X12" s="317" t="s">
        <v>701</v>
      </c>
      <c r="Y12" s="480" t="s">
        <v>702</v>
      </c>
      <c r="Z12" s="480"/>
      <c r="AA12" s="480" t="s">
        <v>703</v>
      </c>
      <c r="AB12" s="528"/>
      <c r="AC12" s="526"/>
    </row>
    <row r="13" spans="1:29" s="146" customFormat="1" ht="59.25" customHeight="1" thickBot="1">
      <c r="A13" s="516"/>
      <c r="B13" s="328" t="s">
        <v>642</v>
      </c>
      <c r="C13" s="329" t="s">
        <v>720</v>
      </c>
      <c r="D13" s="330" t="s">
        <v>2</v>
      </c>
      <c r="E13" s="332"/>
      <c r="F13" s="333"/>
      <c r="G13" s="333"/>
      <c r="H13" s="333"/>
      <c r="I13" s="529"/>
      <c r="J13" s="529"/>
      <c r="K13" s="529"/>
      <c r="L13" s="530"/>
      <c r="M13" s="332"/>
      <c r="N13" s="333"/>
      <c r="O13" s="333"/>
      <c r="P13" s="333"/>
      <c r="Q13" s="510"/>
      <c r="R13" s="536"/>
      <c r="S13" s="510"/>
      <c r="T13" s="511"/>
      <c r="U13" s="332"/>
      <c r="V13" s="333"/>
      <c r="W13" s="333"/>
      <c r="X13" s="333"/>
      <c r="Y13" s="529"/>
      <c r="Z13" s="529"/>
      <c r="AA13" s="529"/>
      <c r="AB13" s="530"/>
      <c r="AC13" s="526"/>
    </row>
    <row r="14" spans="1:29" s="146" customFormat="1" ht="39.950000000000003" customHeight="1">
      <c r="A14" s="517"/>
      <c r="B14" s="537"/>
      <c r="C14" s="537"/>
      <c r="D14" s="537"/>
      <c r="E14" s="537"/>
      <c r="F14" s="537"/>
      <c r="G14" s="537"/>
      <c r="H14" s="537"/>
      <c r="I14" s="537"/>
      <c r="J14" s="537"/>
      <c r="K14" s="537"/>
      <c r="L14" s="537"/>
      <c r="M14" s="537"/>
      <c r="N14" s="537"/>
      <c r="O14" s="537"/>
      <c r="P14" s="537"/>
      <c r="Q14" s="537"/>
      <c r="R14" s="537"/>
      <c r="S14" s="537"/>
      <c r="T14" s="537"/>
      <c r="U14" s="537"/>
      <c r="V14" s="537"/>
      <c r="W14" s="537"/>
      <c r="X14" s="537"/>
      <c r="Y14" s="537"/>
      <c r="Z14" s="537"/>
      <c r="AA14" s="537"/>
      <c r="AB14" s="537"/>
      <c r="AC14" s="527"/>
    </row>
    <row r="16" spans="1:29" ht="54.95" customHeight="1">
      <c r="H16" s="148"/>
    </row>
  </sheetData>
  <mergeCells count="74">
    <mergeCell ref="I13:J13"/>
    <mergeCell ref="K13:L13"/>
    <mergeCell ref="Y13:Z13"/>
    <mergeCell ref="AA13:AB13"/>
    <mergeCell ref="B14:AB14"/>
    <mergeCell ref="Q13:R13"/>
    <mergeCell ref="S13:T13"/>
    <mergeCell ref="B11:B12"/>
    <mergeCell ref="C11:C12"/>
    <mergeCell ref="D11:D12"/>
    <mergeCell ref="E11:L11"/>
    <mergeCell ref="U11:AB11"/>
    <mergeCell ref="I12:J12"/>
    <mergeCell ref="K12:L12"/>
    <mergeCell ref="Y12:Z12"/>
    <mergeCell ref="AA12:AB12"/>
    <mergeCell ref="Q12:R12"/>
    <mergeCell ref="S12:T12"/>
    <mergeCell ref="W7:X7"/>
    <mergeCell ref="Y7:Z7"/>
    <mergeCell ref="AA7:AB7"/>
    <mergeCell ref="B8:B9"/>
    <mergeCell ref="C8:C9"/>
    <mergeCell ref="D8:D9"/>
    <mergeCell ref="E8:L8"/>
    <mergeCell ref="U8:AB8"/>
    <mergeCell ref="E7:F7"/>
    <mergeCell ref="G7:H7"/>
    <mergeCell ref="I7:J7"/>
    <mergeCell ref="K7:L7"/>
    <mergeCell ref="U7:V7"/>
    <mergeCell ref="M7:N7"/>
    <mergeCell ref="O7:P7"/>
    <mergeCell ref="Q7:R7"/>
    <mergeCell ref="B5:B6"/>
    <mergeCell ref="C5:C6"/>
    <mergeCell ref="D5:D6"/>
    <mergeCell ref="E5:L5"/>
    <mergeCell ref="U5:AB5"/>
    <mergeCell ref="E6:F6"/>
    <mergeCell ref="G6:H6"/>
    <mergeCell ref="I6:J6"/>
    <mergeCell ref="K6:L6"/>
    <mergeCell ref="U6:V6"/>
    <mergeCell ref="W6:X6"/>
    <mergeCell ref="Y6:Z6"/>
    <mergeCell ref="AA6:AB6"/>
    <mergeCell ref="A1:AC1"/>
    <mergeCell ref="A2:A14"/>
    <mergeCell ref="B2:B3"/>
    <mergeCell ref="C2:C3"/>
    <mergeCell ref="D2:D3"/>
    <mergeCell ref="E2:L2"/>
    <mergeCell ref="U2:AB2"/>
    <mergeCell ref="AC2:AC14"/>
    <mergeCell ref="I3:J3"/>
    <mergeCell ref="K3:L3"/>
    <mergeCell ref="Y3:Z3"/>
    <mergeCell ref="AA3:AB3"/>
    <mergeCell ref="I4:J4"/>
    <mergeCell ref="K4:L4"/>
    <mergeCell ref="Y4:Z4"/>
    <mergeCell ref="AA4:AB4"/>
    <mergeCell ref="M2:T2"/>
    <mergeCell ref="S7:T7"/>
    <mergeCell ref="M5:T5"/>
    <mergeCell ref="M8:T8"/>
    <mergeCell ref="M11:T11"/>
    <mergeCell ref="Q3:R3"/>
    <mergeCell ref="S3:T3"/>
    <mergeCell ref="M6:N6"/>
    <mergeCell ref="O6:P6"/>
    <mergeCell ref="Q6:R6"/>
    <mergeCell ref="S6:T6"/>
  </mergeCells>
  <printOptions headings="1"/>
  <pageMargins left="0.7" right="0.7" top="0.75" bottom="0.75" header="0.3" footer="0.3"/>
  <pageSetup paperSize="9" scale="80" orientation="landscape" r:id="rId1"/>
  <rowBreaks count="2" manualBreakCount="2">
    <brk id="1" max="16383" man="1"/>
    <brk id="11" max="20" man="1"/>
  </rowBreaks>
  <ignoredErrors>
    <ignoredError sqref="B4 B7 B10 B13"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0"/>
  <sheetViews>
    <sheetView showGridLines="0" rightToLeft="1" workbookViewId="0">
      <pane xSplit="11" topLeftCell="L1" activePane="topRight" state="frozen"/>
      <selection pane="topRight" sqref="A1:K1"/>
    </sheetView>
  </sheetViews>
  <sheetFormatPr defaultColWidth="10.6640625" defaultRowHeight="21.75"/>
  <cols>
    <col min="1" max="1" width="8.1640625" style="21" customWidth="1"/>
    <col min="2" max="2" width="26.6640625" style="21" customWidth="1"/>
    <col min="3" max="11" width="15.83203125" style="21" customWidth="1"/>
    <col min="12" max="12" width="11.6640625" style="19" customWidth="1"/>
    <col min="13" max="13" width="11.6640625" style="20" customWidth="1"/>
    <col min="14" max="16384" width="10.6640625" style="21"/>
  </cols>
  <sheetData>
    <row r="1" spans="1:24" s="3" customFormat="1" ht="54.75" customHeight="1">
      <c r="A1" s="355" t="s">
        <v>50</v>
      </c>
      <c r="B1" s="355"/>
      <c r="C1" s="355"/>
      <c r="D1" s="355"/>
      <c r="E1" s="355"/>
      <c r="F1" s="355"/>
      <c r="G1" s="355"/>
      <c r="H1" s="355"/>
      <c r="I1" s="355"/>
      <c r="J1" s="355"/>
      <c r="K1" s="355"/>
      <c r="L1" s="14"/>
      <c r="M1" s="2"/>
      <c r="N1" s="15"/>
      <c r="O1" s="15"/>
      <c r="P1" s="15"/>
      <c r="Q1" s="15"/>
      <c r="R1" s="15"/>
      <c r="S1" s="15"/>
      <c r="T1" s="15"/>
      <c r="U1" s="15"/>
      <c r="V1" s="15"/>
      <c r="W1" s="6"/>
      <c r="X1" s="2"/>
    </row>
    <row r="2" spans="1:24" s="3" customFormat="1" ht="23.25" customHeight="1">
      <c r="A2" s="356" t="s">
        <v>0</v>
      </c>
      <c r="B2" s="356" t="s">
        <v>11</v>
      </c>
      <c r="C2" s="356" t="s">
        <v>2</v>
      </c>
      <c r="D2" s="356" t="s">
        <v>12</v>
      </c>
      <c r="E2" s="356" t="s">
        <v>13</v>
      </c>
      <c r="F2" s="356"/>
      <c r="G2" s="356"/>
      <c r="H2" s="356"/>
      <c r="I2" s="356"/>
      <c r="J2" s="356"/>
      <c r="K2" s="356"/>
      <c r="L2" s="14"/>
      <c r="M2" s="2"/>
      <c r="N2" s="15"/>
      <c r="O2" s="15"/>
      <c r="P2" s="15"/>
      <c r="Q2" s="15"/>
      <c r="R2" s="15"/>
      <c r="S2" s="15"/>
      <c r="T2" s="15"/>
      <c r="U2" s="15"/>
      <c r="V2" s="15"/>
      <c r="W2" s="6"/>
      <c r="X2" s="2"/>
    </row>
    <row r="3" spans="1:24" s="3" customFormat="1" ht="20.25" customHeight="1">
      <c r="A3" s="356"/>
      <c r="B3" s="356"/>
      <c r="C3" s="356"/>
      <c r="D3" s="356"/>
      <c r="E3" s="181">
        <v>1395</v>
      </c>
      <c r="F3" s="181">
        <v>1396</v>
      </c>
      <c r="G3" s="181">
        <v>1397</v>
      </c>
      <c r="H3" s="181">
        <v>1398</v>
      </c>
      <c r="I3" s="181">
        <v>1399</v>
      </c>
      <c r="J3" s="337">
        <v>1400</v>
      </c>
      <c r="K3" s="181">
        <v>1401</v>
      </c>
      <c r="L3" s="14"/>
      <c r="M3" s="2"/>
      <c r="N3" s="15"/>
      <c r="O3" s="15"/>
      <c r="P3" s="15"/>
      <c r="Q3" s="15"/>
      <c r="R3" s="15"/>
      <c r="S3" s="15"/>
      <c r="T3" s="15"/>
      <c r="U3" s="15"/>
      <c r="V3" s="15"/>
      <c r="W3" s="6"/>
      <c r="X3" s="2"/>
    </row>
    <row r="4" spans="1:24" s="3" customFormat="1" ht="30" customHeight="1">
      <c r="A4" s="187">
        <v>1</v>
      </c>
      <c r="B4" s="183" t="s">
        <v>14</v>
      </c>
      <c r="C4" s="183" t="s">
        <v>6</v>
      </c>
      <c r="D4" s="184">
        <v>1.462707663333175</v>
      </c>
      <c r="E4" s="184">
        <v>1.6089784296664924</v>
      </c>
      <c r="F4" s="184">
        <v>1.689427351149817</v>
      </c>
      <c r="G4" s="184">
        <v>1.7738987187073079</v>
      </c>
      <c r="H4" s="184">
        <v>1.8625936546426733</v>
      </c>
      <c r="I4" s="184">
        <v>1.9557233373748069</v>
      </c>
      <c r="J4" s="184">
        <v>2.0535095042435469</v>
      </c>
      <c r="K4" s="184">
        <v>2.1561849794557237</v>
      </c>
      <c r="L4" s="16"/>
      <c r="M4" s="2"/>
      <c r="N4" s="15"/>
      <c r="O4" s="15"/>
      <c r="P4" s="15"/>
      <c r="Q4" s="15"/>
      <c r="R4" s="15"/>
      <c r="S4" s="15"/>
      <c r="T4" s="15"/>
      <c r="U4" s="15"/>
      <c r="V4" s="15"/>
      <c r="W4" s="6"/>
      <c r="X4" s="2"/>
    </row>
    <row r="5" spans="1:24" s="3" customFormat="1" ht="30" customHeight="1">
      <c r="A5" s="187">
        <v>2</v>
      </c>
      <c r="B5" s="183" t="s">
        <v>15</v>
      </c>
      <c r="C5" s="183" t="s">
        <v>6</v>
      </c>
      <c r="D5" s="184">
        <v>1.7798007294923588</v>
      </c>
      <c r="E5" s="184">
        <v>1.9577808024415946</v>
      </c>
      <c r="F5" s="184">
        <v>2.0556698425636739</v>
      </c>
      <c r="G5" s="184">
        <v>2.158453334691858</v>
      </c>
      <c r="H5" s="184">
        <v>2.2663760014264511</v>
      </c>
      <c r="I5" s="184">
        <v>2.3796948014977732</v>
      </c>
      <c r="J5" s="184">
        <v>2.4986795415726615</v>
      </c>
      <c r="K5" s="184">
        <v>2.6236135186512941</v>
      </c>
      <c r="L5" s="16"/>
      <c r="M5" s="2"/>
      <c r="N5" s="15"/>
      <c r="O5" s="15"/>
      <c r="P5" s="15"/>
      <c r="Q5" s="15"/>
      <c r="R5" s="15"/>
      <c r="S5" s="15"/>
      <c r="T5" s="15"/>
      <c r="U5" s="15"/>
      <c r="V5" s="15"/>
      <c r="W5" s="6"/>
      <c r="X5" s="2"/>
    </row>
    <row r="6" spans="1:24" s="3" customFormat="1" ht="30" customHeight="1">
      <c r="A6" s="187">
        <v>3</v>
      </c>
      <c r="B6" s="183" t="s">
        <v>16</v>
      </c>
      <c r="C6" s="183" t="s">
        <v>6</v>
      </c>
      <c r="D6" s="184">
        <v>0.51196575901709462</v>
      </c>
      <c r="E6" s="184">
        <v>0.56316233491880408</v>
      </c>
      <c r="F6" s="184">
        <v>0.59132045166474423</v>
      </c>
      <c r="G6" s="184">
        <v>0.62088647424798149</v>
      </c>
      <c r="H6" s="184">
        <v>0.65193079796038056</v>
      </c>
      <c r="I6" s="184">
        <v>0.68452733785839959</v>
      </c>
      <c r="J6" s="184">
        <v>0.71875370475131961</v>
      </c>
      <c r="K6" s="184">
        <v>0.75469138998888563</v>
      </c>
      <c r="L6" s="16"/>
      <c r="M6" s="2"/>
      <c r="N6" s="15"/>
      <c r="O6" s="15"/>
      <c r="P6" s="15"/>
      <c r="Q6" s="15"/>
      <c r="R6" s="15"/>
      <c r="S6" s="15"/>
      <c r="T6" s="15"/>
      <c r="U6" s="15"/>
      <c r="V6" s="15"/>
      <c r="W6" s="6"/>
      <c r="X6" s="2"/>
    </row>
    <row r="7" spans="1:24" s="3" customFormat="1" ht="30" customHeight="1">
      <c r="A7" s="187">
        <v>4</v>
      </c>
      <c r="B7" s="183" t="s">
        <v>17</v>
      </c>
      <c r="C7" s="183" t="s">
        <v>6</v>
      </c>
      <c r="D7" s="184">
        <v>1.578100794138948</v>
      </c>
      <c r="E7" s="184">
        <v>1.7359108735528428</v>
      </c>
      <c r="F7" s="184">
        <v>1.8227064172304848</v>
      </c>
      <c r="G7" s="184">
        <v>1.9138417380920092</v>
      </c>
      <c r="H7" s="184">
        <v>2.0095338249966095</v>
      </c>
      <c r="I7" s="184">
        <v>2.1100105162464402</v>
      </c>
      <c r="J7" s="184">
        <v>2.2155110420587625</v>
      </c>
      <c r="K7" s="184">
        <v>2.3262865941617008</v>
      </c>
      <c r="L7" s="16"/>
      <c r="M7" s="2"/>
      <c r="N7" s="15"/>
      <c r="O7" s="15"/>
      <c r="P7" s="15"/>
      <c r="Q7" s="15"/>
      <c r="R7" s="15"/>
      <c r="S7" s="15"/>
      <c r="T7" s="15"/>
      <c r="U7" s="15"/>
      <c r="V7" s="15"/>
      <c r="W7" s="6"/>
      <c r="X7" s="2"/>
    </row>
    <row r="8" spans="1:24" s="3" customFormat="1" ht="30" customHeight="1">
      <c r="A8" s="187">
        <v>5</v>
      </c>
      <c r="B8" s="183" t="s">
        <v>18</v>
      </c>
      <c r="C8" s="183" t="s">
        <v>6</v>
      </c>
      <c r="D8" s="184">
        <v>0.68262878211751066</v>
      </c>
      <c r="E8" s="184">
        <v>0.75089166032926169</v>
      </c>
      <c r="F8" s="184">
        <v>0.78843624334572471</v>
      </c>
      <c r="G8" s="184">
        <v>0.82785805551301095</v>
      </c>
      <c r="H8" s="184">
        <v>0.8692509582886615</v>
      </c>
      <c r="I8" s="184">
        <v>0.91271350620309455</v>
      </c>
      <c r="J8" s="184">
        <v>0.95834918151324933</v>
      </c>
      <c r="K8" s="184">
        <v>1.0062666405889118</v>
      </c>
      <c r="L8" s="16"/>
      <c r="M8" s="2"/>
      <c r="N8" s="15"/>
      <c r="O8" s="15"/>
      <c r="P8" s="15"/>
      <c r="Q8" s="15"/>
      <c r="R8" s="15"/>
      <c r="S8" s="15"/>
      <c r="T8" s="15"/>
      <c r="U8" s="15"/>
      <c r="V8" s="15"/>
      <c r="W8" s="6"/>
      <c r="X8" s="2"/>
    </row>
    <row r="9" spans="1:24" s="3" customFormat="1" ht="30" customHeight="1">
      <c r="A9" s="187">
        <v>6</v>
      </c>
      <c r="B9" s="183" t="s">
        <v>19</v>
      </c>
      <c r="C9" s="183" t="s">
        <v>6</v>
      </c>
      <c r="D9" s="184">
        <v>0.25004437982948319</v>
      </c>
      <c r="E9" s="184">
        <v>0.27504881781243151</v>
      </c>
      <c r="F9" s="184">
        <v>0.28880125870305307</v>
      </c>
      <c r="G9" s="184">
        <v>0.30324132163820572</v>
      </c>
      <c r="H9" s="184">
        <v>0.318403387720116</v>
      </c>
      <c r="I9" s="184">
        <v>0.33432355710612177</v>
      </c>
      <c r="J9" s="184">
        <v>0.35103973496142782</v>
      </c>
      <c r="K9" s="184">
        <v>0.36859172170949916</v>
      </c>
      <c r="L9" s="16"/>
      <c r="M9" s="2"/>
      <c r="N9" s="15"/>
      <c r="O9" s="15"/>
      <c r="P9" s="15"/>
      <c r="Q9" s="15"/>
      <c r="R9" s="15"/>
      <c r="S9" s="15"/>
      <c r="T9" s="15"/>
      <c r="U9" s="15"/>
      <c r="V9" s="15"/>
      <c r="W9" s="6"/>
      <c r="X9" s="2"/>
    </row>
    <row r="10" spans="1:24" s="3" customFormat="1" ht="30" customHeight="1">
      <c r="A10" s="187">
        <v>7</v>
      </c>
      <c r="B10" s="183" t="s">
        <v>20</v>
      </c>
      <c r="C10" s="183" t="s">
        <v>6</v>
      </c>
      <c r="D10" s="184">
        <v>0.59743044572183268</v>
      </c>
      <c r="E10" s="184">
        <v>0.65717349029401595</v>
      </c>
      <c r="F10" s="184">
        <v>0.69003216480871665</v>
      </c>
      <c r="G10" s="184">
        <v>0.72453377304915256</v>
      </c>
      <c r="H10" s="184">
        <v>0.76076046170161016</v>
      </c>
      <c r="I10" s="184">
        <v>0.79879848478669069</v>
      </c>
      <c r="J10" s="184">
        <v>0.83873840902602526</v>
      </c>
      <c r="K10" s="184">
        <v>0.88067532947732652</v>
      </c>
      <c r="L10" s="16"/>
      <c r="M10" s="2"/>
      <c r="N10" s="15"/>
      <c r="O10" s="15"/>
      <c r="P10" s="15"/>
      <c r="Q10" s="15"/>
      <c r="R10" s="15"/>
      <c r="S10" s="15"/>
      <c r="T10" s="15"/>
      <c r="U10" s="15"/>
      <c r="V10" s="15"/>
      <c r="W10" s="6"/>
      <c r="X10" s="2"/>
    </row>
    <row r="11" spans="1:24" s="3" customFormat="1" ht="30" customHeight="1">
      <c r="A11" s="187">
        <v>8</v>
      </c>
      <c r="B11" s="183" t="s">
        <v>21</v>
      </c>
      <c r="C11" s="183" t="s">
        <v>6</v>
      </c>
      <c r="D11" s="184">
        <v>2.0031247699626014</v>
      </c>
      <c r="E11" s="184">
        <v>2.2034372469588615</v>
      </c>
      <c r="F11" s="184">
        <v>2.3136091093068041</v>
      </c>
      <c r="G11" s="184">
        <v>2.4292895647721449</v>
      </c>
      <c r="H11" s="184">
        <v>2.5507540430107518</v>
      </c>
      <c r="I11" s="184">
        <v>2.6782917451612893</v>
      </c>
      <c r="J11" s="184">
        <v>2.812206332419354</v>
      </c>
      <c r="K11" s="184">
        <v>2.9528166490403218</v>
      </c>
      <c r="L11" s="16"/>
      <c r="M11" s="2"/>
      <c r="N11" s="15"/>
      <c r="O11" s="15"/>
      <c r="P11" s="15"/>
      <c r="Q11" s="15"/>
      <c r="R11" s="15"/>
      <c r="S11" s="15"/>
      <c r="T11" s="15"/>
      <c r="U11" s="15"/>
      <c r="V11" s="15"/>
      <c r="W11" s="6"/>
      <c r="X11" s="2"/>
    </row>
    <row r="12" spans="1:24" s="3" customFormat="1" ht="30" customHeight="1">
      <c r="A12" s="187">
        <v>9</v>
      </c>
      <c r="B12" s="183" t="s">
        <v>22</v>
      </c>
      <c r="C12" s="183" t="s">
        <v>6</v>
      </c>
      <c r="D12" s="184">
        <v>0.12001905102335586</v>
      </c>
      <c r="E12" s="184">
        <v>0.13202095612569145</v>
      </c>
      <c r="F12" s="184">
        <v>0.13862200393197602</v>
      </c>
      <c r="G12" s="184">
        <v>0.14555310412857483</v>
      </c>
      <c r="H12" s="184">
        <v>0.15283075933500356</v>
      </c>
      <c r="I12" s="184">
        <v>0.16047229730175375</v>
      </c>
      <c r="J12" s="184">
        <v>0.16849591216684146</v>
      </c>
      <c r="K12" s="184">
        <v>0.17692070777518354</v>
      </c>
      <c r="L12" s="16"/>
      <c r="M12" s="2"/>
      <c r="N12" s="15"/>
      <c r="O12" s="15"/>
      <c r="P12" s="15"/>
      <c r="Q12" s="15"/>
      <c r="R12" s="15"/>
      <c r="S12" s="15"/>
      <c r="T12" s="15"/>
      <c r="U12" s="15"/>
      <c r="V12" s="15"/>
      <c r="W12" s="6"/>
      <c r="X12" s="2"/>
    </row>
    <row r="13" spans="1:24" s="3" customFormat="1" ht="30" customHeight="1">
      <c r="A13" s="187">
        <v>10</v>
      </c>
      <c r="B13" s="183" t="s">
        <v>23</v>
      </c>
      <c r="C13" s="183" t="s">
        <v>6</v>
      </c>
      <c r="D13" s="184">
        <v>0.40045802127054209</v>
      </c>
      <c r="E13" s="184">
        <v>0.44050382339759631</v>
      </c>
      <c r="F13" s="184">
        <v>0.46252901456747608</v>
      </c>
      <c r="G13" s="184">
        <v>0.48565546529584996</v>
      </c>
      <c r="H13" s="184">
        <v>0.50993823856064247</v>
      </c>
      <c r="I13" s="184">
        <v>0.53543515048867452</v>
      </c>
      <c r="J13" s="184">
        <v>0.56220690801310813</v>
      </c>
      <c r="K13" s="184">
        <v>0.5903172534137634</v>
      </c>
      <c r="L13" s="16"/>
      <c r="M13" s="2"/>
      <c r="N13" s="15"/>
      <c r="O13" s="15"/>
      <c r="P13" s="15"/>
      <c r="Q13" s="15"/>
      <c r="R13" s="15"/>
      <c r="S13" s="15"/>
      <c r="T13" s="15"/>
      <c r="U13" s="15"/>
      <c r="V13" s="15"/>
      <c r="W13" s="6"/>
      <c r="X13" s="2"/>
    </row>
    <row r="14" spans="1:24" s="3" customFormat="1" ht="30" customHeight="1">
      <c r="A14" s="187">
        <v>11</v>
      </c>
      <c r="B14" s="183" t="s">
        <v>24</v>
      </c>
      <c r="C14" s="183" t="s">
        <v>6</v>
      </c>
      <c r="D14" s="184">
        <v>0.5394444508181272</v>
      </c>
      <c r="E14" s="184">
        <v>0.59338889589993993</v>
      </c>
      <c r="F14" s="184">
        <v>0.62305834069493682</v>
      </c>
      <c r="G14" s="184">
        <v>0.6542112577296838</v>
      </c>
      <c r="H14" s="184">
        <v>0.68692182061616791</v>
      </c>
      <c r="I14" s="184">
        <v>0.72126791164697635</v>
      </c>
      <c r="J14" s="184">
        <v>0.75733130722932518</v>
      </c>
      <c r="K14" s="184">
        <v>0.79519787259079144</v>
      </c>
      <c r="L14" s="16"/>
      <c r="M14" s="2"/>
      <c r="N14" s="15"/>
      <c r="O14" s="15"/>
      <c r="P14" s="15"/>
      <c r="Q14" s="15"/>
      <c r="R14" s="15"/>
      <c r="S14" s="15"/>
      <c r="T14" s="15"/>
      <c r="U14" s="15"/>
      <c r="V14" s="15"/>
      <c r="W14" s="6"/>
      <c r="X14" s="2"/>
    </row>
    <row r="15" spans="1:24" s="3" customFormat="1" ht="30" customHeight="1">
      <c r="A15" s="187">
        <v>12</v>
      </c>
      <c r="B15" s="183" t="s">
        <v>25</v>
      </c>
      <c r="C15" s="183" t="s">
        <v>6</v>
      </c>
      <c r="D15" s="184">
        <v>2.5811112052112426</v>
      </c>
      <c r="E15" s="184">
        <v>2.8392223257323668</v>
      </c>
      <c r="F15" s="184">
        <v>2.9811834420189847</v>
      </c>
      <c r="G15" s="184">
        <v>3.130242614119934</v>
      </c>
      <c r="H15" s="184">
        <v>3.2867547448259309</v>
      </c>
      <c r="I15" s="184">
        <v>3.4510924820672271</v>
      </c>
      <c r="J15" s="184">
        <v>3.6236471061705879</v>
      </c>
      <c r="K15" s="184">
        <v>3.8048294614791165</v>
      </c>
      <c r="L15" s="16"/>
      <c r="M15" s="2"/>
      <c r="N15" s="15"/>
      <c r="O15" s="15"/>
      <c r="P15" s="15"/>
      <c r="Q15" s="15"/>
      <c r="R15" s="15"/>
      <c r="S15" s="15"/>
      <c r="T15" s="15"/>
      <c r="U15" s="15"/>
      <c r="V15" s="15"/>
      <c r="W15" s="6"/>
      <c r="X15" s="2"/>
    </row>
    <row r="16" spans="1:24" s="3" customFormat="1" ht="30" customHeight="1">
      <c r="A16" s="187">
        <v>13</v>
      </c>
      <c r="B16" s="183" t="s">
        <v>26</v>
      </c>
      <c r="C16" s="183" t="s">
        <v>6</v>
      </c>
      <c r="D16" s="184">
        <v>0.2591368283932734</v>
      </c>
      <c r="E16" s="184">
        <v>0.28505051123260072</v>
      </c>
      <c r="F16" s="184">
        <v>0.29930303679423076</v>
      </c>
      <c r="G16" s="184">
        <v>0.31426818863394235</v>
      </c>
      <c r="H16" s="184">
        <v>0.32998159806563943</v>
      </c>
      <c r="I16" s="184">
        <v>0.3464806779689214</v>
      </c>
      <c r="J16" s="184">
        <v>0.36380471186736751</v>
      </c>
      <c r="K16" s="184">
        <v>0.38199494746073592</v>
      </c>
      <c r="L16" s="16"/>
      <c r="M16" s="2"/>
      <c r="N16" s="15"/>
      <c r="O16" s="15"/>
      <c r="P16" s="15"/>
      <c r="Q16" s="15"/>
      <c r="R16" s="15"/>
      <c r="S16" s="15"/>
      <c r="T16" s="15"/>
      <c r="U16" s="15"/>
      <c r="V16" s="15"/>
      <c r="W16" s="6"/>
      <c r="X16" s="2"/>
    </row>
    <row r="17" spans="1:24" s="3" customFormat="1" ht="30" customHeight="1">
      <c r="A17" s="187">
        <v>14</v>
      </c>
      <c r="B17" s="183" t="s">
        <v>27</v>
      </c>
      <c r="C17" s="183" t="s">
        <v>6</v>
      </c>
      <c r="D17" s="184">
        <v>1.4850866364825439</v>
      </c>
      <c r="E17" s="184">
        <v>1.6335953001307981</v>
      </c>
      <c r="F17" s="184">
        <v>1.7152750651373379</v>
      </c>
      <c r="G17" s="184">
        <v>1.801038818394205</v>
      </c>
      <c r="H17" s="184">
        <v>1.8910907593139152</v>
      </c>
      <c r="I17" s="184">
        <v>1.985645297279611</v>
      </c>
      <c r="J17" s="184">
        <v>2.0849275621435917</v>
      </c>
      <c r="K17" s="184">
        <v>2.1891739402507713</v>
      </c>
      <c r="L17" s="16"/>
      <c r="M17" s="2"/>
      <c r="N17" s="15"/>
      <c r="O17" s="15"/>
      <c r="P17" s="15"/>
      <c r="Q17" s="15"/>
      <c r="R17" s="15"/>
      <c r="S17" s="15"/>
      <c r="T17" s="15"/>
      <c r="U17" s="15"/>
      <c r="V17" s="15"/>
      <c r="W17" s="6"/>
      <c r="X17" s="2"/>
    </row>
    <row r="18" spans="1:24" s="3" customFormat="1" ht="30" customHeight="1">
      <c r="A18" s="187">
        <v>15</v>
      </c>
      <c r="B18" s="183" t="s">
        <v>28</v>
      </c>
      <c r="C18" s="183" t="s">
        <v>6</v>
      </c>
      <c r="D18" s="184">
        <v>0.50366882578411387</v>
      </c>
      <c r="E18" s="184">
        <v>0.55403570836252525</v>
      </c>
      <c r="F18" s="184">
        <v>0.58173749378065143</v>
      </c>
      <c r="G18" s="184">
        <v>0.61082436846968413</v>
      </c>
      <c r="H18" s="184">
        <v>0.64136558689316836</v>
      </c>
      <c r="I18" s="184">
        <v>0.67343386623782664</v>
      </c>
      <c r="J18" s="184">
        <v>0.70710555954971788</v>
      </c>
      <c r="K18" s="184">
        <v>0.7424608375272036</v>
      </c>
      <c r="L18" s="16"/>
      <c r="M18" s="2"/>
      <c r="N18" s="15"/>
      <c r="O18" s="15"/>
      <c r="P18" s="15"/>
      <c r="Q18" s="15"/>
      <c r="R18" s="15"/>
      <c r="S18" s="15"/>
      <c r="T18" s="15"/>
      <c r="U18" s="15"/>
      <c r="V18" s="15"/>
      <c r="W18" s="6"/>
      <c r="X18" s="2"/>
    </row>
    <row r="19" spans="1:24" s="3" customFormat="1" ht="30" customHeight="1">
      <c r="A19" s="187">
        <v>16</v>
      </c>
      <c r="B19" s="183" t="s">
        <v>29</v>
      </c>
      <c r="C19" s="183" t="s">
        <v>6</v>
      </c>
      <c r="D19" s="184">
        <v>0.47207545340725043</v>
      </c>
      <c r="E19" s="184">
        <v>0.51928299874797545</v>
      </c>
      <c r="F19" s="184">
        <v>0.54524714868537427</v>
      </c>
      <c r="G19" s="184">
        <v>0.57250950611964302</v>
      </c>
      <c r="H19" s="184">
        <v>0.60113498142562516</v>
      </c>
      <c r="I19" s="184">
        <v>0.63119173049690636</v>
      </c>
      <c r="J19" s="184">
        <v>0.66275131702175161</v>
      </c>
      <c r="K19" s="184">
        <v>0.69588888287283912</v>
      </c>
      <c r="L19" s="16"/>
      <c r="M19" s="2"/>
      <c r="N19" s="15"/>
      <c r="O19" s="15"/>
      <c r="P19" s="15"/>
      <c r="Q19" s="15"/>
      <c r="R19" s="15"/>
      <c r="S19" s="15"/>
      <c r="T19" s="15"/>
      <c r="U19" s="15"/>
      <c r="V19" s="15"/>
      <c r="W19" s="6"/>
      <c r="X19" s="2"/>
    </row>
    <row r="20" spans="1:24" s="3" customFormat="1" ht="30" customHeight="1">
      <c r="A20" s="187">
        <v>17</v>
      </c>
      <c r="B20" s="183" t="s">
        <v>30</v>
      </c>
      <c r="C20" s="183" t="s">
        <v>6</v>
      </c>
      <c r="D20" s="184">
        <v>0.8382385626242832</v>
      </c>
      <c r="E20" s="184">
        <v>0.92206241888671148</v>
      </c>
      <c r="F20" s="184">
        <v>0.96816553983104703</v>
      </c>
      <c r="G20" s="184">
        <v>1.0165738168225995</v>
      </c>
      <c r="H20" s="184">
        <v>1.0674025076637295</v>
      </c>
      <c r="I20" s="184">
        <v>1.1207726330469159</v>
      </c>
      <c r="J20" s="184">
        <v>1.1768112646992617</v>
      </c>
      <c r="K20" s="184">
        <v>1.2356518279342248</v>
      </c>
      <c r="L20" s="16"/>
      <c r="M20" s="2"/>
      <c r="N20" s="15"/>
      <c r="O20" s="15"/>
      <c r="P20" s="15"/>
      <c r="Q20" s="15"/>
      <c r="R20" s="15"/>
      <c r="S20" s="15"/>
      <c r="T20" s="15"/>
      <c r="U20" s="15"/>
      <c r="V20" s="15"/>
      <c r="W20" s="6"/>
      <c r="X20" s="2"/>
    </row>
    <row r="21" spans="1:24" s="3" customFormat="1" ht="30" customHeight="1">
      <c r="A21" s="187">
        <v>18</v>
      </c>
      <c r="B21" s="183" t="s">
        <v>31</v>
      </c>
      <c r="C21" s="183" t="s">
        <v>6</v>
      </c>
      <c r="D21" s="184">
        <v>1.529523891982999</v>
      </c>
      <c r="E21" s="184">
        <v>1.682476281181299</v>
      </c>
      <c r="F21" s="184">
        <v>1.7666000952403638</v>
      </c>
      <c r="G21" s="184">
        <v>1.8549301000023821</v>
      </c>
      <c r="H21" s="184">
        <v>1.9476766050025012</v>
      </c>
      <c r="I21" s="184">
        <v>2.0450604352526263</v>
      </c>
      <c r="J21" s="184">
        <v>2.1473134570152577</v>
      </c>
      <c r="K21" s="184">
        <v>2.2546791298660205</v>
      </c>
      <c r="L21" s="16"/>
      <c r="M21" s="2"/>
      <c r="N21" s="15"/>
      <c r="O21" s="15"/>
      <c r="P21" s="15"/>
      <c r="Q21" s="15"/>
      <c r="R21" s="15"/>
      <c r="S21" s="15"/>
      <c r="T21" s="15"/>
      <c r="U21" s="15"/>
      <c r="V21" s="15"/>
      <c r="W21" s="6"/>
      <c r="X21" s="2"/>
    </row>
    <row r="22" spans="1:24" s="3" customFormat="1" ht="30" customHeight="1">
      <c r="A22" s="187">
        <v>19</v>
      </c>
      <c r="B22" s="183" t="s">
        <v>32</v>
      </c>
      <c r="C22" s="183" t="s">
        <v>6</v>
      </c>
      <c r="D22" s="184">
        <v>0.67827969694532619</v>
      </c>
      <c r="E22" s="184">
        <v>0.74610766663985872</v>
      </c>
      <c r="F22" s="184">
        <v>0.78341304997185157</v>
      </c>
      <c r="G22" s="184">
        <v>0.82258370247044432</v>
      </c>
      <c r="H22" s="184">
        <v>0.86371288759396647</v>
      </c>
      <c r="I22" s="184">
        <v>0.90689853197366477</v>
      </c>
      <c r="J22" s="184">
        <v>0.95224345857234804</v>
      </c>
      <c r="K22" s="184">
        <v>0.99985563150096546</v>
      </c>
      <c r="L22" s="16"/>
      <c r="M22" s="2"/>
      <c r="N22" s="15"/>
      <c r="O22" s="15"/>
      <c r="P22" s="15"/>
      <c r="Q22" s="15"/>
      <c r="R22" s="15"/>
      <c r="S22" s="15"/>
      <c r="T22" s="15"/>
      <c r="U22" s="15"/>
      <c r="V22" s="15"/>
      <c r="W22" s="6"/>
      <c r="X22" s="2"/>
    </row>
    <row r="23" spans="1:24" s="3" customFormat="1" ht="30" customHeight="1">
      <c r="A23" s="187">
        <v>20</v>
      </c>
      <c r="B23" s="183" t="s">
        <v>33</v>
      </c>
      <c r="C23" s="183" t="s">
        <v>6</v>
      </c>
      <c r="D23" s="184">
        <v>0.64254123639865446</v>
      </c>
      <c r="E23" s="184">
        <v>0.70679536003851995</v>
      </c>
      <c r="F23" s="184">
        <v>0.7421351280404459</v>
      </c>
      <c r="G23" s="184">
        <v>0.77924188444246822</v>
      </c>
      <c r="H23" s="184">
        <v>0.8182039786645916</v>
      </c>
      <c r="I23" s="184">
        <v>0.85911417759782116</v>
      </c>
      <c r="J23" s="184">
        <v>0.90206988647771225</v>
      </c>
      <c r="K23" s="184">
        <v>0.94717338080159785</v>
      </c>
      <c r="L23" s="16"/>
      <c r="M23" s="2"/>
      <c r="N23" s="15"/>
      <c r="O23" s="15"/>
      <c r="P23" s="15"/>
      <c r="Q23" s="15"/>
      <c r="R23" s="15"/>
      <c r="S23" s="15"/>
      <c r="T23" s="15"/>
      <c r="U23" s="15"/>
      <c r="V23" s="15"/>
      <c r="W23" s="6"/>
      <c r="X23" s="2"/>
    </row>
    <row r="24" spans="1:24" s="3" customFormat="1" ht="30" customHeight="1">
      <c r="A24" s="187">
        <v>21</v>
      </c>
      <c r="B24" s="183" t="s">
        <v>34</v>
      </c>
      <c r="C24" s="183" t="s">
        <v>6</v>
      </c>
      <c r="D24" s="184">
        <v>0.56007525750115061</v>
      </c>
      <c r="E24" s="184">
        <v>0.61608278325126564</v>
      </c>
      <c r="F24" s="184">
        <v>0.64688692241382895</v>
      </c>
      <c r="G24" s="184">
        <v>0.67923126853452043</v>
      </c>
      <c r="H24" s="184">
        <v>0.71319283196124639</v>
      </c>
      <c r="I24" s="184">
        <v>0.74885247355930873</v>
      </c>
      <c r="J24" s="184">
        <v>0.7862950972372742</v>
      </c>
      <c r="K24" s="184">
        <v>0.82560985209913795</v>
      </c>
      <c r="L24" s="16"/>
      <c r="M24" s="2"/>
      <c r="N24" s="15"/>
      <c r="O24" s="15"/>
      <c r="P24" s="15"/>
      <c r="Q24" s="15"/>
      <c r="R24" s="15"/>
      <c r="S24" s="15"/>
      <c r="T24" s="15"/>
      <c r="U24" s="15"/>
      <c r="V24" s="15"/>
      <c r="W24" s="6"/>
      <c r="X24" s="2"/>
    </row>
    <row r="25" spans="1:24" s="3" customFormat="1" ht="30" customHeight="1">
      <c r="A25" s="187">
        <v>22</v>
      </c>
      <c r="B25" s="183" t="s">
        <v>35</v>
      </c>
      <c r="C25" s="183" t="s">
        <v>6</v>
      </c>
      <c r="D25" s="184">
        <v>0.58987494560808684</v>
      </c>
      <c r="E25" s="184">
        <v>0.64886244016889549</v>
      </c>
      <c r="F25" s="184">
        <v>0.68130556217734017</v>
      </c>
      <c r="G25" s="184">
        <v>0.71537084028620723</v>
      </c>
      <c r="H25" s="184">
        <v>0.75113938230051769</v>
      </c>
      <c r="I25" s="184">
        <v>0.78869635141554351</v>
      </c>
      <c r="J25" s="184">
        <v>0.82813116898632055</v>
      </c>
      <c r="K25" s="184">
        <v>0.8695377274356364</v>
      </c>
      <c r="L25" s="17"/>
      <c r="M25" s="2"/>
      <c r="N25" s="15"/>
      <c r="O25" s="15"/>
      <c r="P25" s="15"/>
      <c r="Q25" s="15"/>
      <c r="R25" s="15"/>
      <c r="S25" s="15"/>
      <c r="T25" s="15"/>
      <c r="U25" s="15"/>
      <c r="V25" s="15"/>
      <c r="W25" s="6"/>
      <c r="X25" s="2"/>
    </row>
    <row r="26" spans="1:24" s="3" customFormat="1" ht="30" customHeight="1">
      <c r="A26" s="187">
        <v>23</v>
      </c>
      <c r="B26" s="183" t="s">
        <v>36</v>
      </c>
      <c r="C26" s="183" t="s">
        <v>6</v>
      </c>
      <c r="D26" s="184">
        <v>1.0029775929818439</v>
      </c>
      <c r="E26" s="184">
        <v>1.1032753522800283</v>
      </c>
      <c r="F26" s="184">
        <v>1.1584391198940296</v>
      </c>
      <c r="G26" s="184">
        <v>1.2163610758887313</v>
      </c>
      <c r="H26" s="184">
        <v>1.2771791296831678</v>
      </c>
      <c r="I26" s="184">
        <v>1.3410380861673261</v>
      </c>
      <c r="J26" s="184">
        <v>1.4080899904756923</v>
      </c>
      <c r="K26" s="184">
        <v>1.4784944899994767</v>
      </c>
      <c r="L26" s="15"/>
      <c r="M26" s="2"/>
      <c r="N26" s="15"/>
      <c r="O26" s="15"/>
      <c r="P26" s="15"/>
      <c r="Q26" s="15"/>
      <c r="R26" s="15"/>
      <c r="S26" s="15"/>
      <c r="T26" s="15"/>
      <c r="U26" s="15"/>
      <c r="V26" s="15"/>
      <c r="W26" s="6"/>
      <c r="X26" s="2"/>
    </row>
    <row r="27" spans="1:24" s="3" customFormat="1" ht="30" customHeight="1">
      <c r="A27" s="187">
        <v>24</v>
      </c>
      <c r="B27" s="183" t="s">
        <v>37</v>
      </c>
      <c r="C27" s="183" t="s">
        <v>6</v>
      </c>
      <c r="D27" s="184">
        <v>0.27808291247968958</v>
      </c>
      <c r="E27" s="184">
        <v>0.30589120372765849</v>
      </c>
      <c r="F27" s="184">
        <v>0.32118576391404141</v>
      </c>
      <c r="G27" s="184">
        <v>0.33724505210974348</v>
      </c>
      <c r="H27" s="184">
        <v>0.35410730471523066</v>
      </c>
      <c r="I27" s="184">
        <v>0.37181266995099221</v>
      </c>
      <c r="J27" s="184">
        <v>0.39040330344854185</v>
      </c>
      <c r="K27" s="184">
        <v>0.40992346862096896</v>
      </c>
      <c r="L27" s="16"/>
      <c r="M27" s="2"/>
      <c r="N27" s="15"/>
      <c r="O27" s="15"/>
      <c r="P27" s="15"/>
      <c r="Q27" s="15"/>
      <c r="R27" s="15"/>
      <c r="S27" s="15"/>
      <c r="T27" s="15"/>
      <c r="U27" s="15"/>
      <c r="V27" s="15"/>
      <c r="W27" s="6"/>
      <c r="X27" s="2"/>
    </row>
    <row r="28" spans="1:24" s="3" customFormat="1" ht="30" customHeight="1">
      <c r="A28" s="187">
        <v>25</v>
      </c>
      <c r="B28" s="183" t="s">
        <v>38</v>
      </c>
      <c r="C28" s="183" t="s">
        <v>6</v>
      </c>
      <c r="D28" s="184">
        <v>1.0766329387626032</v>
      </c>
      <c r="E28" s="184">
        <v>1.1842962326388635</v>
      </c>
      <c r="F28" s="184">
        <v>1.2435110442708066</v>
      </c>
      <c r="G28" s="184">
        <v>1.3056865964843469</v>
      </c>
      <c r="H28" s="184">
        <v>1.3709709263085643</v>
      </c>
      <c r="I28" s="184">
        <v>1.4395194726239924</v>
      </c>
      <c r="J28" s="184">
        <v>1.5114954462551917</v>
      </c>
      <c r="K28" s="184">
        <v>1.5870702185679511</v>
      </c>
      <c r="L28" s="16"/>
      <c r="M28" s="2"/>
      <c r="N28" s="15"/>
      <c r="O28" s="15"/>
      <c r="P28" s="15"/>
      <c r="Q28" s="15"/>
      <c r="R28" s="15"/>
      <c r="S28" s="15"/>
      <c r="T28" s="15"/>
      <c r="U28" s="15"/>
      <c r="V28" s="15"/>
      <c r="W28" s="6"/>
      <c r="X28" s="2"/>
    </row>
    <row r="29" spans="1:24" s="3" customFormat="1" ht="30" customHeight="1">
      <c r="A29" s="187">
        <v>26</v>
      </c>
      <c r="B29" s="183" t="s">
        <v>39</v>
      </c>
      <c r="C29" s="183" t="s">
        <v>6</v>
      </c>
      <c r="D29" s="184">
        <v>1.2054061983962159</v>
      </c>
      <c r="E29" s="184">
        <v>1.3259468182358376</v>
      </c>
      <c r="F29" s="184">
        <v>1.3922441591476293</v>
      </c>
      <c r="G29" s="184">
        <v>1.4618563671050109</v>
      </c>
      <c r="H29" s="184">
        <v>1.5349491854602615</v>
      </c>
      <c r="I29" s="184">
        <v>1.6116966447332743</v>
      </c>
      <c r="J29" s="184">
        <v>1.6922814769699377</v>
      </c>
      <c r="K29" s="184">
        <v>1.7768955508184343</v>
      </c>
      <c r="L29" s="16"/>
      <c r="M29" s="2"/>
      <c r="N29" s="15"/>
      <c r="O29" s="15"/>
      <c r="P29" s="15"/>
      <c r="Q29" s="15"/>
      <c r="R29" s="15"/>
      <c r="S29" s="15"/>
      <c r="T29" s="15"/>
      <c r="U29" s="15"/>
      <c r="V29" s="15"/>
      <c r="W29" s="6"/>
      <c r="X29" s="2"/>
    </row>
    <row r="30" spans="1:24" s="3" customFormat="1" ht="30" customHeight="1">
      <c r="A30" s="187">
        <v>27</v>
      </c>
      <c r="B30" s="183" t="s">
        <v>40</v>
      </c>
      <c r="C30" s="183" t="s">
        <v>6</v>
      </c>
      <c r="D30" s="184">
        <v>1.0148129014102845</v>
      </c>
      <c r="E30" s="184">
        <v>1.1162941915513127</v>
      </c>
      <c r="F30" s="184">
        <v>1.1721089011288783</v>
      </c>
      <c r="G30" s="184">
        <v>1.2307143461853223</v>
      </c>
      <c r="H30" s="184">
        <v>1.2922500634945886</v>
      </c>
      <c r="I30" s="184">
        <v>1.3568625666693179</v>
      </c>
      <c r="J30" s="184">
        <v>1.4247056950027837</v>
      </c>
      <c r="K30" s="184">
        <v>1.4959409797529226</v>
      </c>
      <c r="L30" s="15"/>
      <c r="M30" s="2"/>
      <c r="N30" s="15"/>
      <c r="O30" s="15"/>
      <c r="P30" s="15"/>
      <c r="Q30" s="15"/>
      <c r="R30" s="15"/>
      <c r="S30" s="15"/>
      <c r="T30" s="15"/>
      <c r="U30" s="15"/>
      <c r="V30" s="15"/>
      <c r="W30" s="6"/>
      <c r="X30" s="2"/>
    </row>
    <row r="31" spans="1:24" s="3" customFormat="1" ht="30" customHeight="1">
      <c r="A31" s="187">
        <v>28</v>
      </c>
      <c r="B31" s="183" t="s">
        <v>41</v>
      </c>
      <c r="C31" s="183" t="s">
        <v>6</v>
      </c>
      <c r="D31" s="184">
        <v>3.0609600929873868</v>
      </c>
      <c r="E31" s="184">
        <v>3.3670561022861252</v>
      </c>
      <c r="F31" s="184">
        <v>3.5354089074004311</v>
      </c>
      <c r="G31" s="184">
        <v>3.7121793527704532</v>
      </c>
      <c r="H31" s="184">
        <v>3.897788320408976</v>
      </c>
      <c r="I31" s="184">
        <v>4.0926777364294242</v>
      </c>
      <c r="J31" s="184">
        <v>4.297311623250895</v>
      </c>
      <c r="K31" s="184">
        <v>4.5121772044134394</v>
      </c>
      <c r="L31" s="18"/>
      <c r="M31" s="2"/>
      <c r="N31" s="15"/>
      <c r="O31" s="15"/>
      <c r="P31" s="15"/>
      <c r="Q31" s="15"/>
      <c r="R31" s="15"/>
      <c r="S31" s="15"/>
      <c r="T31" s="15"/>
      <c r="U31" s="15"/>
      <c r="V31" s="15"/>
      <c r="W31" s="6"/>
      <c r="X31" s="2"/>
    </row>
    <row r="32" spans="1:24" s="3" customFormat="1" ht="30" customHeight="1">
      <c r="A32" s="187">
        <v>29</v>
      </c>
      <c r="B32" s="183" t="s">
        <v>42</v>
      </c>
      <c r="C32" s="183" t="s">
        <v>6</v>
      </c>
      <c r="D32" s="184">
        <v>0.71773879851763744</v>
      </c>
      <c r="E32" s="184">
        <v>0.7895126783694012</v>
      </c>
      <c r="F32" s="184">
        <v>0.82898831228787118</v>
      </c>
      <c r="G32" s="184">
        <v>0.87043772790226481</v>
      </c>
      <c r="H32" s="184">
        <v>0.91395961429737815</v>
      </c>
      <c r="I32" s="184">
        <v>0.95965759501224701</v>
      </c>
      <c r="J32" s="184">
        <v>1.0076404747628593</v>
      </c>
      <c r="K32" s="184">
        <v>1.0580224985010023</v>
      </c>
      <c r="L32" s="15"/>
      <c r="M32" s="2"/>
      <c r="N32" s="15"/>
      <c r="O32" s="15"/>
      <c r="P32" s="15"/>
      <c r="Q32" s="15"/>
      <c r="R32" s="15"/>
      <c r="S32" s="15"/>
      <c r="T32" s="15"/>
      <c r="U32" s="15"/>
      <c r="V32" s="15"/>
      <c r="W32" s="6"/>
      <c r="X32" s="2"/>
    </row>
    <row r="33" spans="1:24" s="3" customFormat="1" ht="30" customHeight="1">
      <c r="A33" s="187">
        <v>30</v>
      </c>
      <c r="B33" s="183" t="s">
        <v>43</v>
      </c>
      <c r="C33" s="183" t="s">
        <v>6</v>
      </c>
      <c r="D33" s="184">
        <v>0.56232490152758485</v>
      </c>
      <c r="E33" s="184">
        <v>0.61855739168034329</v>
      </c>
      <c r="F33" s="184">
        <v>0.64948526126436046</v>
      </c>
      <c r="G33" s="184">
        <v>0.68195952432757856</v>
      </c>
      <c r="H33" s="184">
        <v>0.71605750054395745</v>
      </c>
      <c r="I33" s="184">
        <v>0.75186037557115526</v>
      </c>
      <c r="J33" s="184">
        <v>0.78945339434971284</v>
      </c>
      <c r="K33" s="184">
        <v>0.82892606406719838</v>
      </c>
      <c r="L33" s="16"/>
      <c r="M33" s="2"/>
      <c r="N33" s="15"/>
      <c r="O33" s="15"/>
      <c r="P33" s="15"/>
      <c r="Q33" s="15"/>
      <c r="R33" s="15"/>
      <c r="S33" s="15"/>
      <c r="T33" s="15"/>
      <c r="U33" s="15"/>
      <c r="V33" s="15"/>
      <c r="W33" s="6"/>
      <c r="X33" s="2"/>
    </row>
    <row r="34" spans="1:24" s="3" customFormat="1" ht="30" customHeight="1">
      <c r="A34" s="187">
        <v>31</v>
      </c>
      <c r="B34" s="183" t="s">
        <v>44</v>
      </c>
      <c r="C34" s="183" t="s">
        <v>6</v>
      </c>
      <c r="D34" s="184">
        <v>0.45711587303574275</v>
      </c>
      <c r="E34" s="184">
        <v>0.50282746033931702</v>
      </c>
      <c r="F34" s="184">
        <v>0.52796883335628286</v>
      </c>
      <c r="G34" s="184">
        <v>0.55436727502409699</v>
      </c>
      <c r="H34" s="184">
        <v>0.58208563877530195</v>
      </c>
      <c r="I34" s="184">
        <v>0.61118992071406697</v>
      </c>
      <c r="J34" s="184">
        <v>0.64174941674977026</v>
      </c>
      <c r="K34" s="184">
        <v>0.67383688758725868</v>
      </c>
      <c r="L34" s="16"/>
      <c r="M34" s="2"/>
      <c r="N34" s="15"/>
      <c r="O34" s="15"/>
      <c r="P34" s="15"/>
      <c r="Q34" s="15"/>
      <c r="R34" s="15"/>
      <c r="S34" s="15"/>
      <c r="T34" s="15"/>
      <c r="U34" s="15"/>
      <c r="V34" s="15"/>
      <c r="W34" s="6"/>
      <c r="X34" s="2"/>
    </row>
    <row r="35" spans="1:24" s="3" customFormat="1" ht="30" customHeight="1">
      <c r="A35" s="187">
        <v>32</v>
      </c>
      <c r="B35" s="183" t="s">
        <v>45</v>
      </c>
      <c r="C35" s="183" t="s">
        <v>6</v>
      </c>
      <c r="D35" s="184">
        <v>0.69516653715295129</v>
      </c>
      <c r="E35" s="184">
        <v>0.76468319086824643</v>
      </c>
      <c r="F35" s="184">
        <v>0.80291735041165868</v>
      </c>
      <c r="G35" s="184">
        <v>0.8430632179322417</v>
      </c>
      <c r="H35" s="184">
        <v>0.88521637882885373</v>
      </c>
      <c r="I35" s="184">
        <v>0.92947719777029636</v>
      </c>
      <c r="J35" s="184">
        <v>0.97595105765881096</v>
      </c>
      <c r="K35" s="184">
        <v>1.0247486105417514</v>
      </c>
      <c r="L35" s="16"/>
      <c r="M35" s="2"/>
      <c r="N35" s="15"/>
      <c r="O35" s="15"/>
      <c r="P35" s="15"/>
      <c r="Q35" s="15"/>
      <c r="R35" s="15"/>
      <c r="S35" s="15"/>
      <c r="T35" s="15"/>
      <c r="U35" s="15"/>
      <c r="V35" s="15"/>
      <c r="W35" s="6"/>
      <c r="X35" s="2"/>
    </row>
    <row r="36" spans="1:24" s="3" customFormat="1" ht="30" customHeight="1">
      <c r="A36" s="360" t="s">
        <v>46</v>
      </c>
      <c r="B36" s="360"/>
      <c r="C36" s="183" t="s">
        <v>47</v>
      </c>
      <c r="D36" s="184">
        <f>SUM(D4:D35)</f>
        <v>30.136556134315892</v>
      </c>
      <c r="E36" s="184">
        <f t="shared" ref="E36:I36" si="0">SUM(E4:E35)</f>
        <v>33.150211747747484</v>
      </c>
      <c r="F36" s="184">
        <f t="shared" si="0"/>
        <v>34.807722335134855</v>
      </c>
      <c r="G36" s="184">
        <f t="shared" si="0"/>
        <v>36.548108451891601</v>
      </c>
      <c r="H36" s="184">
        <f t="shared" si="0"/>
        <v>38.375513874486174</v>
      </c>
      <c r="I36" s="184">
        <f t="shared" si="0"/>
        <v>40.29428956821048</v>
      </c>
      <c r="J36" s="184">
        <v>42.309004046620998</v>
      </c>
      <c r="K36" s="184">
        <v>44.424454248952038</v>
      </c>
      <c r="L36" s="16"/>
      <c r="M36" s="2"/>
      <c r="N36" s="15"/>
      <c r="O36" s="15"/>
      <c r="P36" s="15"/>
      <c r="Q36" s="15"/>
      <c r="R36" s="15"/>
      <c r="S36" s="15"/>
      <c r="T36" s="15"/>
      <c r="U36" s="15"/>
      <c r="V36" s="15"/>
      <c r="W36" s="6"/>
      <c r="X36" s="2"/>
    </row>
    <row r="37" spans="1:24" ht="30" customHeight="1">
      <c r="A37" s="357"/>
      <c r="B37" s="358"/>
      <c r="C37" s="358"/>
      <c r="D37" s="358"/>
      <c r="E37" s="358"/>
      <c r="F37" s="358"/>
      <c r="G37" s="358"/>
      <c r="H37" s="358"/>
      <c r="I37" s="358"/>
      <c r="J37" s="358"/>
      <c r="K37" s="359"/>
    </row>
    <row r="38" spans="1:24" s="22" customFormat="1" hidden="1"/>
    <row r="39" spans="1:24">
      <c r="D39" s="23"/>
      <c r="E39" s="23"/>
      <c r="F39" s="23"/>
      <c r="G39" s="23"/>
      <c r="H39" s="23"/>
      <c r="I39" s="23"/>
      <c r="J39" s="23"/>
      <c r="K39" s="23"/>
    </row>
    <row r="40" spans="1:24">
      <c r="B40" s="23"/>
      <c r="C40" s="23"/>
      <c r="D40" s="23"/>
      <c r="E40" s="23"/>
      <c r="F40" s="23"/>
      <c r="G40" s="23"/>
      <c r="H40" s="23"/>
      <c r="I40" s="23"/>
      <c r="J40" s="23"/>
      <c r="K40" s="23"/>
    </row>
  </sheetData>
  <mergeCells count="8">
    <mergeCell ref="A1:K1"/>
    <mergeCell ref="E2:K2"/>
    <mergeCell ref="A37:K37"/>
    <mergeCell ref="A36:B36"/>
    <mergeCell ref="A2:A3"/>
    <mergeCell ref="B2:B3"/>
    <mergeCell ref="C2:C3"/>
    <mergeCell ref="D2:D3"/>
  </mergeCells>
  <pageMargins left="0.7" right="0.7" top="0.75" bottom="0.75" header="0.3" footer="0.3"/>
  <pageSetup paperSize="9" scale="68" orientation="portrait" r:id="rId1"/>
  <rowBreaks count="1" manualBreakCount="1">
    <brk id="27" max="13" man="1"/>
  </rowBreaks>
  <ignoredErrors>
    <ignoredError sqref="E36:I36" formulaRange="1"/>
  </ignoredErrors>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rightToLeft="1" workbookViewId="0">
      <selection sqref="A1:C1"/>
    </sheetView>
  </sheetViews>
  <sheetFormatPr defaultRowHeight="27"/>
  <cols>
    <col min="1" max="1" width="18.33203125" style="60" customWidth="1"/>
    <col min="2" max="2" width="126.6640625" style="60" customWidth="1"/>
    <col min="3" max="3" width="18.33203125" style="60" customWidth="1"/>
    <col min="4" max="16384" width="9.33203125" style="60"/>
  </cols>
  <sheetData>
    <row r="1" spans="1:3" ht="70.5" customHeight="1">
      <c r="A1" s="387" t="s">
        <v>618</v>
      </c>
      <c r="B1" s="387"/>
      <c r="C1" s="387"/>
    </row>
    <row r="2" spans="1:3" s="62" customFormat="1" ht="39.950000000000003" customHeight="1">
      <c r="A2" s="388"/>
      <c r="B2" s="61" t="str">
        <f>'[34]سیاست ها و برنامه ها '!A1</f>
        <v xml:space="preserve"> اهداف کلی 3:  ارتقاء كيفيت و بهداشت واحدهای تولیدی، توزیعی، عرضه و خدمات مرتبط با دامپزشکی</v>
      </c>
      <c r="C2" s="389"/>
    </row>
    <row r="3" spans="1:3" s="62" customFormat="1" ht="39.950000000000003" customHeight="1">
      <c r="A3" s="388"/>
      <c r="B3" s="63" t="str">
        <f>'[34]سیاست ها و برنامه ها '!A2</f>
        <v xml:space="preserve"> راهبرد 13-3: رتبه بندی واحدهای تولیدی، توزیعی، عرضه و خدمات مرتبط با دامپزشکی</v>
      </c>
      <c r="C3" s="389"/>
    </row>
    <row r="4" spans="1:3" s="62" customFormat="1" ht="39.950000000000003" customHeight="1">
      <c r="A4" s="388"/>
      <c r="B4" s="64" t="str">
        <f>CONCATENATE([34]روکش!A1,"  ",[34]روکش!B1)</f>
        <v xml:space="preserve"> عنوان هدف کمی:   افزايش تعداد واحدهاي داراي رتبه A </v>
      </c>
      <c r="C4" s="389"/>
    </row>
    <row r="5" spans="1:3" s="62" customFormat="1" ht="39.950000000000003" customHeight="1">
      <c r="A5" s="388"/>
      <c r="B5" s="64" t="str">
        <f>CONCATENATE([34]روکش!A2,"  ",[34]روکش!B2,"                         ",[34]روکش!C2,"   ",[34]روکش!D2)</f>
        <v>عنوان سنجه عملکرد:  بازدید ممیزی/ارزیابی                         شاخص سنجه:   3</v>
      </c>
      <c r="C5" s="389"/>
    </row>
    <row r="6" spans="1:3" s="62" customFormat="1" ht="39.950000000000003" customHeight="1">
      <c r="A6" s="388"/>
      <c r="B6" s="64" t="s">
        <v>559</v>
      </c>
      <c r="C6" s="389"/>
    </row>
    <row r="7" spans="1:3" s="62" customFormat="1" ht="39.950000000000003" customHeight="1">
      <c r="A7" s="388"/>
      <c r="B7" s="64" t="s">
        <v>591</v>
      </c>
      <c r="C7" s="389"/>
    </row>
    <row r="8" spans="1:3" ht="39.950000000000003" customHeight="1">
      <c r="A8" s="388"/>
      <c r="B8" s="65" t="s">
        <v>388</v>
      </c>
      <c r="C8" s="389"/>
    </row>
    <row r="9" spans="1:3" s="66" customFormat="1" ht="39.950000000000003" customHeight="1">
      <c r="A9" s="388"/>
      <c r="B9" s="63" t="s">
        <v>592</v>
      </c>
      <c r="C9" s="389"/>
    </row>
    <row r="10" spans="1:3" s="68" customFormat="1" ht="39.950000000000003" customHeight="1">
      <c r="A10" s="388"/>
      <c r="B10" s="172" t="s">
        <v>390</v>
      </c>
      <c r="C10" s="389"/>
    </row>
    <row r="11" spans="1:3" ht="72.75" customHeight="1">
      <c r="A11" s="390"/>
      <c r="B11" s="390"/>
      <c r="C11" s="390"/>
    </row>
    <row r="12" spans="1:3" ht="22.5" customHeight="1"/>
    <row r="13" spans="1:3" ht="22.5" customHeight="1"/>
  </sheetData>
  <dataConsolidate/>
  <mergeCells count="4">
    <mergeCell ref="A1:C1"/>
    <mergeCell ref="A2:A10"/>
    <mergeCell ref="C2:C10"/>
    <mergeCell ref="A11:C11"/>
  </mergeCells>
  <pageMargins left="0.7" right="0.7" top="0.75" bottom="0.75" header="0.3" footer="0.3"/>
  <pageSetup paperSize="9" orientation="portrait" r:id="rId1"/>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showGridLines="0" rightToLeft="1" workbookViewId="0">
      <pane xSplit="21" topLeftCell="V1" activePane="topRight" state="frozen"/>
      <selection pane="topRight" sqref="A1:U1"/>
    </sheetView>
  </sheetViews>
  <sheetFormatPr defaultColWidth="25" defaultRowHeight="54.95" customHeight="1"/>
  <cols>
    <col min="1" max="1" width="5" style="147" customWidth="1"/>
    <col min="2" max="2" width="10.5" style="147" customWidth="1"/>
    <col min="3" max="3" width="24.83203125" style="147" customWidth="1"/>
    <col min="4" max="20" width="7" style="147" customWidth="1"/>
    <col min="21" max="21" width="4.33203125" style="147" customWidth="1"/>
    <col min="22" max="16384" width="25" style="147"/>
  </cols>
  <sheetData>
    <row r="1" spans="1:21" s="163" customFormat="1" ht="33" customHeight="1">
      <c r="A1" s="450" t="s">
        <v>1077</v>
      </c>
      <c r="B1" s="450"/>
      <c r="C1" s="450"/>
      <c r="D1" s="450"/>
      <c r="E1" s="450"/>
      <c r="F1" s="450"/>
      <c r="G1" s="450"/>
      <c r="H1" s="450"/>
      <c r="I1" s="450"/>
      <c r="J1" s="450"/>
      <c r="K1" s="450"/>
      <c r="L1" s="450"/>
      <c r="M1" s="450"/>
      <c r="N1" s="450"/>
      <c r="O1" s="450"/>
      <c r="P1" s="450"/>
      <c r="Q1" s="450"/>
      <c r="R1" s="450"/>
      <c r="S1" s="450"/>
      <c r="T1" s="450"/>
      <c r="U1" s="450"/>
    </row>
    <row r="2" spans="1:21" s="163" customFormat="1" ht="33" customHeight="1">
      <c r="A2" s="450" t="s">
        <v>1190</v>
      </c>
      <c r="B2" s="450"/>
      <c r="C2" s="450"/>
      <c r="D2" s="450"/>
      <c r="E2" s="450"/>
      <c r="F2" s="450"/>
      <c r="G2" s="450"/>
      <c r="H2" s="450"/>
      <c r="I2" s="450"/>
      <c r="J2" s="450"/>
      <c r="K2" s="450"/>
      <c r="L2" s="450"/>
      <c r="M2" s="450"/>
      <c r="N2" s="450"/>
      <c r="O2" s="450"/>
      <c r="P2" s="450"/>
      <c r="Q2" s="450"/>
      <c r="R2" s="450"/>
      <c r="S2" s="450"/>
      <c r="T2" s="450"/>
      <c r="U2" s="450"/>
    </row>
    <row r="3" spans="1:21" s="163" customFormat="1" ht="33" customHeight="1">
      <c r="A3" s="450" t="s">
        <v>1191</v>
      </c>
      <c r="B3" s="450"/>
      <c r="C3" s="450"/>
      <c r="D3" s="450"/>
      <c r="E3" s="450"/>
      <c r="F3" s="450"/>
      <c r="G3" s="450"/>
      <c r="H3" s="450"/>
      <c r="I3" s="450"/>
      <c r="J3" s="450"/>
      <c r="K3" s="450"/>
      <c r="L3" s="450"/>
      <c r="M3" s="450"/>
      <c r="N3" s="450"/>
      <c r="O3" s="450"/>
      <c r="P3" s="450"/>
      <c r="Q3" s="450"/>
      <c r="R3" s="450"/>
      <c r="S3" s="450"/>
      <c r="T3" s="450"/>
      <c r="U3" s="450"/>
    </row>
    <row r="4" spans="1:21" s="163" customFormat="1" ht="33" customHeight="1">
      <c r="A4" s="450" t="s">
        <v>737</v>
      </c>
      <c r="B4" s="450"/>
      <c r="C4" s="450"/>
      <c r="D4" s="450"/>
      <c r="E4" s="450"/>
      <c r="F4" s="450"/>
      <c r="G4" s="450"/>
      <c r="H4" s="450"/>
      <c r="I4" s="450"/>
      <c r="J4" s="450"/>
      <c r="K4" s="450"/>
      <c r="L4" s="450"/>
      <c r="M4" s="450"/>
      <c r="N4" s="450"/>
      <c r="O4" s="450"/>
      <c r="P4" s="450"/>
      <c r="Q4" s="450"/>
      <c r="R4" s="450"/>
      <c r="S4" s="450"/>
      <c r="T4" s="450"/>
      <c r="U4" s="450"/>
    </row>
    <row r="5" spans="1:21" ht="38.1" customHeight="1">
      <c r="A5" s="404" t="s">
        <v>1192</v>
      </c>
      <c r="B5" s="404"/>
      <c r="C5" s="404"/>
      <c r="D5" s="404"/>
      <c r="E5" s="404"/>
      <c r="F5" s="404"/>
      <c r="G5" s="404"/>
      <c r="H5" s="404"/>
      <c r="I5" s="404"/>
      <c r="J5" s="404"/>
      <c r="K5" s="404"/>
      <c r="L5" s="404"/>
      <c r="M5" s="404"/>
      <c r="N5" s="404"/>
      <c r="O5" s="404"/>
      <c r="P5" s="404"/>
      <c r="Q5" s="404"/>
      <c r="R5" s="404"/>
      <c r="S5" s="404"/>
      <c r="T5" s="404"/>
      <c r="U5" s="404"/>
    </row>
    <row r="6" spans="1:21" ht="24.95" customHeight="1">
      <c r="A6" s="404" t="s">
        <v>1172</v>
      </c>
      <c r="B6" s="404"/>
      <c r="C6" s="404"/>
      <c r="D6" s="404"/>
      <c r="E6" s="404"/>
      <c r="F6" s="404"/>
      <c r="G6" s="404"/>
      <c r="H6" s="404"/>
      <c r="I6" s="404"/>
      <c r="J6" s="404"/>
      <c r="K6" s="404"/>
      <c r="L6" s="404"/>
      <c r="M6" s="404"/>
      <c r="N6" s="404"/>
      <c r="O6" s="404"/>
      <c r="P6" s="404"/>
      <c r="Q6" s="404"/>
      <c r="R6" s="404"/>
      <c r="S6" s="404"/>
      <c r="T6" s="404"/>
      <c r="U6" s="404"/>
    </row>
    <row r="7" spans="1:21" ht="24.95" customHeight="1">
      <c r="A7" s="404" t="s">
        <v>1173</v>
      </c>
      <c r="B7" s="404"/>
      <c r="C7" s="404"/>
      <c r="D7" s="404"/>
      <c r="E7" s="404"/>
      <c r="F7" s="404"/>
      <c r="G7" s="404"/>
      <c r="H7" s="404"/>
      <c r="I7" s="404"/>
      <c r="J7" s="404"/>
      <c r="K7" s="404"/>
      <c r="L7" s="404"/>
      <c r="M7" s="404"/>
      <c r="N7" s="404"/>
      <c r="O7" s="404"/>
      <c r="P7" s="404"/>
      <c r="Q7" s="404"/>
      <c r="R7" s="404"/>
      <c r="S7" s="404"/>
      <c r="T7" s="404"/>
      <c r="U7" s="404"/>
    </row>
    <row r="8" spans="1:21" ht="24.95" customHeight="1">
      <c r="A8" s="404" t="s">
        <v>1193</v>
      </c>
      <c r="B8" s="404"/>
      <c r="C8" s="404"/>
      <c r="D8" s="404"/>
      <c r="E8" s="404"/>
      <c r="F8" s="404"/>
      <c r="G8" s="404"/>
      <c r="H8" s="404"/>
      <c r="I8" s="404"/>
      <c r="J8" s="404"/>
      <c r="K8" s="404"/>
      <c r="L8" s="404"/>
      <c r="M8" s="404"/>
      <c r="N8" s="404"/>
      <c r="O8" s="404"/>
      <c r="P8" s="404"/>
      <c r="Q8" s="404"/>
      <c r="R8" s="404"/>
      <c r="S8" s="404"/>
      <c r="T8" s="404"/>
      <c r="U8" s="404"/>
    </row>
    <row r="9" spans="1:21" ht="38.1" customHeight="1">
      <c r="A9" s="404" t="s">
        <v>1194</v>
      </c>
      <c r="B9" s="404"/>
      <c r="C9" s="404"/>
      <c r="D9" s="404"/>
      <c r="E9" s="404"/>
      <c r="F9" s="404"/>
      <c r="G9" s="404"/>
      <c r="H9" s="404"/>
      <c r="I9" s="404"/>
      <c r="J9" s="404"/>
      <c r="K9" s="404"/>
      <c r="L9" s="404"/>
      <c r="M9" s="404"/>
      <c r="N9" s="404"/>
      <c r="O9" s="404"/>
      <c r="P9" s="404"/>
      <c r="Q9" s="404"/>
      <c r="R9" s="404"/>
      <c r="S9" s="404"/>
      <c r="T9" s="404"/>
      <c r="U9" s="404"/>
    </row>
    <row r="10" spans="1:21" ht="24.95" customHeight="1">
      <c r="A10" s="404" t="s">
        <v>1195</v>
      </c>
      <c r="B10" s="404"/>
      <c r="C10" s="404"/>
      <c r="D10" s="404"/>
      <c r="E10" s="404"/>
      <c r="F10" s="404"/>
      <c r="G10" s="404"/>
      <c r="H10" s="404"/>
      <c r="I10" s="404"/>
      <c r="J10" s="404"/>
      <c r="K10" s="404"/>
      <c r="L10" s="404"/>
      <c r="M10" s="404"/>
      <c r="N10" s="404"/>
      <c r="O10" s="404"/>
      <c r="P10" s="404"/>
      <c r="Q10" s="404"/>
      <c r="R10" s="404"/>
      <c r="S10" s="404"/>
      <c r="T10" s="404"/>
      <c r="U10" s="404"/>
    </row>
    <row r="11" spans="1:21" ht="24.95" customHeight="1">
      <c r="A11" s="404" t="s">
        <v>1196</v>
      </c>
      <c r="B11" s="404"/>
      <c r="C11" s="404"/>
      <c r="D11" s="404"/>
      <c r="E11" s="404"/>
      <c r="F11" s="404"/>
      <c r="G11" s="404"/>
      <c r="H11" s="404"/>
      <c r="I11" s="404"/>
      <c r="J11" s="404"/>
      <c r="K11" s="404"/>
      <c r="L11" s="404"/>
      <c r="M11" s="404"/>
      <c r="N11" s="404"/>
      <c r="O11" s="404"/>
      <c r="P11" s="404"/>
      <c r="Q11" s="404"/>
      <c r="R11" s="404"/>
      <c r="S11" s="404"/>
      <c r="T11" s="404"/>
      <c r="U11" s="404"/>
    </row>
    <row r="12" spans="1:21" ht="38.1" customHeight="1">
      <c r="A12" s="404" t="s">
        <v>1197</v>
      </c>
      <c r="B12" s="404"/>
      <c r="C12" s="404"/>
      <c r="D12" s="404"/>
      <c r="E12" s="404"/>
      <c r="F12" s="404"/>
      <c r="G12" s="404"/>
      <c r="H12" s="404"/>
      <c r="I12" s="404"/>
      <c r="J12" s="404"/>
      <c r="K12" s="404"/>
      <c r="L12" s="404"/>
      <c r="M12" s="404"/>
      <c r="N12" s="404"/>
      <c r="O12" s="404"/>
      <c r="P12" s="404"/>
      <c r="Q12" s="404"/>
      <c r="R12" s="404"/>
      <c r="S12" s="404"/>
      <c r="T12" s="404"/>
      <c r="U12" s="404"/>
    </row>
    <row r="13" spans="1:21" ht="24.95" customHeight="1">
      <c r="A13" s="404" t="s">
        <v>1198</v>
      </c>
      <c r="B13" s="404"/>
      <c r="C13" s="404"/>
      <c r="D13" s="404"/>
      <c r="E13" s="404"/>
      <c r="F13" s="404"/>
      <c r="G13" s="404"/>
      <c r="H13" s="404"/>
      <c r="I13" s="404"/>
      <c r="J13" s="404"/>
      <c r="K13" s="404"/>
      <c r="L13" s="404"/>
      <c r="M13" s="404"/>
      <c r="N13" s="404"/>
      <c r="O13" s="404"/>
      <c r="P13" s="404"/>
      <c r="Q13" s="404"/>
      <c r="R13" s="404"/>
      <c r="S13" s="404"/>
      <c r="T13" s="404"/>
      <c r="U13" s="404"/>
    </row>
    <row r="14" spans="1:21" ht="24.95" customHeight="1">
      <c r="A14" s="404" t="s">
        <v>1199</v>
      </c>
      <c r="B14" s="404"/>
      <c r="C14" s="404"/>
      <c r="D14" s="404"/>
      <c r="E14" s="404"/>
      <c r="F14" s="404"/>
      <c r="G14" s="404"/>
      <c r="H14" s="404"/>
      <c r="I14" s="404"/>
      <c r="J14" s="404"/>
      <c r="K14" s="404"/>
      <c r="L14" s="404"/>
      <c r="M14" s="404"/>
      <c r="N14" s="404"/>
      <c r="O14" s="404"/>
      <c r="P14" s="404"/>
      <c r="Q14" s="404"/>
      <c r="R14" s="404"/>
      <c r="S14" s="404"/>
      <c r="T14" s="404"/>
      <c r="U14" s="404"/>
    </row>
    <row r="15" spans="1:21" ht="24.95" customHeight="1">
      <c r="A15" s="404" t="s">
        <v>1200</v>
      </c>
      <c r="B15" s="404"/>
      <c r="C15" s="404"/>
      <c r="D15" s="404"/>
      <c r="E15" s="404"/>
      <c r="F15" s="404"/>
      <c r="G15" s="404"/>
      <c r="H15" s="404"/>
      <c r="I15" s="404"/>
      <c r="J15" s="404"/>
      <c r="K15" s="404"/>
      <c r="L15" s="404"/>
      <c r="M15" s="404"/>
      <c r="N15" s="404"/>
      <c r="O15" s="404"/>
      <c r="P15" s="404"/>
      <c r="Q15" s="404"/>
      <c r="R15" s="404"/>
      <c r="S15" s="404"/>
      <c r="T15" s="404"/>
      <c r="U15" s="404"/>
    </row>
    <row r="16" spans="1:21" s="146" customFormat="1" ht="30" customHeight="1">
      <c r="A16" s="408"/>
      <c r="B16" s="451" t="s">
        <v>0</v>
      </c>
      <c r="C16" s="496" t="s">
        <v>626</v>
      </c>
      <c r="D16" s="505" t="s">
        <v>697</v>
      </c>
      <c r="E16" s="497" t="s">
        <v>679</v>
      </c>
      <c r="F16" s="497"/>
      <c r="G16" s="497"/>
      <c r="H16" s="497"/>
      <c r="I16" s="497"/>
      <c r="J16" s="497"/>
      <c r="K16" s="497"/>
      <c r="L16" s="497"/>
      <c r="M16" s="497" t="s">
        <v>680</v>
      </c>
      <c r="N16" s="497"/>
      <c r="O16" s="497"/>
      <c r="P16" s="497"/>
      <c r="Q16" s="497"/>
      <c r="R16" s="497"/>
      <c r="S16" s="497"/>
      <c r="T16" s="497"/>
      <c r="U16" s="409"/>
    </row>
    <row r="17" spans="1:21" s="146" customFormat="1" ht="81" customHeight="1">
      <c r="A17" s="408"/>
      <c r="B17" s="451"/>
      <c r="C17" s="496"/>
      <c r="D17" s="506"/>
      <c r="E17" s="303" t="s">
        <v>711</v>
      </c>
      <c r="F17" s="303" t="s">
        <v>712</v>
      </c>
      <c r="G17" s="303" t="s">
        <v>713</v>
      </c>
      <c r="H17" s="303" t="s">
        <v>714</v>
      </c>
      <c r="I17" s="480" t="s">
        <v>715</v>
      </c>
      <c r="J17" s="480"/>
      <c r="K17" s="480" t="s">
        <v>716</v>
      </c>
      <c r="L17" s="480"/>
      <c r="M17" s="303" t="s">
        <v>711</v>
      </c>
      <c r="N17" s="303" t="s">
        <v>712</v>
      </c>
      <c r="O17" s="303" t="s">
        <v>713</v>
      </c>
      <c r="P17" s="303" t="s">
        <v>714</v>
      </c>
      <c r="Q17" s="480" t="s">
        <v>715</v>
      </c>
      <c r="R17" s="480"/>
      <c r="S17" s="480" t="s">
        <v>716</v>
      </c>
      <c r="T17" s="480"/>
      <c r="U17" s="409"/>
    </row>
    <row r="18" spans="1:21" s="146" customFormat="1" ht="65.099999999999994" customHeight="1">
      <c r="A18" s="408"/>
      <c r="B18" s="283" t="s">
        <v>1201</v>
      </c>
      <c r="C18" s="288" t="s">
        <v>717</v>
      </c>
      <c r="D18" s="227" t="s">
        <v>2</v>
      </c>
      <c r="E18" s="227">
        <v>12</v>
      </c>
      <c r="F18" s="227">
        <v>92</v>
      </c>
      <c r="G18" s="227">
        <v>2</v>
      </c>
      <c r="H18" s="227">
        <v>2</v>
      </c>
      <c r="I18" s="499">
        <v>47</v>
      </c>
      <c r="J18" s="499"/>
      <c r="K18" s="499">
        <v>87</v>
      </c>
      <c r="L18" s="499"/>
      <c r="M18" s="227">
        <v>45</v>
      </c>
      <c r="N18" s="227">
        <v>250</v>
      </c>
      <c r="O18" s="227">
        <v>3</v>
      </c>
      <c r="P18" s="227">
        <v>15</v>
      </c>
      <c r="Q18" s="538">
        <v>150</v>
      </c>
      <c r="R18" s="538"/>
      <c r="S18" s="538">
        <v>280</v>
      </c>
      <c r="T18" s="538"/>
      <c r="U18" s="409"/>
    </row>
    <row r="19" spans="1:21" s="146" customFormat="1" ht="30" customHeight="1">
      <c r="A19" s="408"/>
      <c r="B19" s="451" t="s">
        <v>0</v>
      </c>
      <c r="C19" s="496" t="s">
        <v>626</v>
      </c>
      <c r="D19" s="505" t="s">
        <v>697</v>
      </c>
      <c r="E19" s="497" t="s">
        <v>679</v>
      </c>
      <c r="F19" s="497"/>
      <c r="G19" s="497"/>
      <c r="H19" s="497"/>
      <c r="I19" s="497"/>
      <c r="J19" s="497"/>
      <c r="K19" s="497"/>
      <c r="L19" s="497"/>
      <c r="M19" s="497" t="s">
        <v>680</v>
      </c>
      <c r="N19" s="497"/>
      <c r="O19" s="497"/>
      <c r="P19" s="497"/>
      <c r="Q19" s="497"/>
      <c r="R19" s="497"/>
      <c r="S19" s="497"/>
      <c r="T19" s="497"/>
      <c r="U19" s="409"/>
    </row>
    <row r="20" spans="1:21" s="146" customFormat="1" ht="81" customHeight="1">
      <c r="A20" s="408"/>
      <c r="B20" s="451"/>
      <c r="C20" s="496"/>
      <c r="D20" s="506"/>
      <c r="E20" s="480" t="s">
        <v>681</v>
      </c>
      <c r="F20" s="480"/>
      <c r="G20" s="480" t="s">
        <v>682</v>
      </c>
      <c r="H20" s="480"/>
      <c r="I20" s="480" t="s">
        <v>683</v>
      </c>
      <c r="J20" s="480"/>
      <c r="K20" s="480" t="s">
        <v>684</v>
      </c>
      <c r="L20" s="480"/>
      <c r="M20" s="480" t="s">
        <v>681</v>
      </c>
      <c r="N20" s="480"/>
      <c r="O20" s="480" t="s">
        <v>682</v>
      </c>
      <c r="P20" s="480"/>
      <c r="Q20" s="480" t="s">
        <v>683</v>
      </c>
      <c r="R20" s="480"/>
      <c r="S20" s="480" t="s">
        <v>684</v>
      </c>
      <c r="T20" s="480"/>
      <c r="U20" s="409"/>
    </row>
    <row r="21" spans="1:21" s="146" customFormat="1" ht="65.099999999999994" customHeight="1">
      <c r="A21" s="408"/>
      <c r="B21" s="283" t="s">
        <v>1202</v>
      </c>
      <c r="C21" s="288" t="s">
        <v>718</v>
      </c>
      <c r="D21" s="227" t="s">
        <v>2</v>
      </c>
      <c r="E21" s="499">
        <v>0</v>
      </c>
      <c r="F21" s="499"/>
      <c r="G21" s="499">
        <v>10</v>
      </c>
      <c r="H21" s="499"/>
      <c r="I21" s="499">
        <v>20</v>
      </c>
      <c r="J21" s="499"/>
      <c r="K21" s="499">
        <v>10</v>
      </c>
      <c r="L21" s="499"/>
      <c r="M21" s="499">
        <v>5</v>
      </c>
      <c r="N21" s="499"/>
      <c r="O21" s="499">
        <v>50</v>
      </c>
      <c r="P21" s="499"/>
      <c r="Q21" s="499">
        <v>70</v>
      </c>
      <c r="R21" s="499"/>
      <c r="S21" s="499">
        <v>30</v>
      </c>
      <c r="T21" s="499"/>
      <c r="U21" s="409"/>
    </row>
    <row r="22" spans="1:21" s="146" customFormat="1" ht="30" customHeight="1">
      <c r="A22" s="408"/>
      <c r="B22" s="451" t="s">
        <v>0</v>
      </c>
      <c r="C22" s="496" t="s">
        <v>626</v>
      </c>
      <c r="D22" s="505" t="s">
        <v>697</v>
      </c>
      <c r="E22" s="497" t="s">
        <v>679</v>
      </c>
      <c r="F22" s="497"/>
      <c r="G22" s="497"/>
      <c r="H22" s="497"/>
      <c r="I22" s="497"/>
      <c r="J22" s="497"/>
      <c r="K22" s="497"/>
      <c r="L22" s="497"/>
      <c r="M22" s="497" t="s">
        <v>680</v>
      </c>
      <c r="N22" s="497"/>
      <c r="O22" s="497"/>
      <c r="P22" s="497"/>
      <c r="Q22" s="497"/>
      <c r="R22" s="497"/>
      <c r="S22" s="497"/>
      <c r="T22" s="497"/>
      <c r="U22" s="409"/>
    </row>
    <row r="23" spans="1:21" s="146" customFormat="1" ht="81" customHeight="1">
      <c r="A23" s="408"/>
      <c r="B23" s="451"/>
      <c r="C23" s="496"/>
      <c r="D23" s="506"/>
      <c r="E23" s="303" t="s">
        <v>688</v>
      </c>
      <c r="F23" s="303" t="s">
        <v>689</v>
      </c>
      <c r="G23" s="303" t="s">
        <v>690</v>
      </c>
      <c r="H23" s="303" t="s">
        <v>691</v>
      </c>
      <c r="I23" s="303" t="s">
        <v>692</v>
      </c>
      <c r="J23" s="303" t="s">
        <v>693</v>
      </c>
      <c r="K23" s="303" t="s">
        <v>694</v>
      </c>
      <c r="L23" s="303" t="s">
        <v>695</v>
      </c>
      <c r="M23" s="303" t="s">
        <v>688</v>
      </c>
      <c r="N23" s="303" t="s">
        <v>689</v>
      </c>
      <c r="O23" s="303" t="s">
        <v>690</v>
      </c>
      <c r="P23" s="303" t="s">
        <v>691</v>
      </c>
      <c r="Q23" s="303" t="s">
        <v>692</v>
      </c>
      <c r="R23" s="303" t="s">
        <v>693</v>
      </c>
      <c r="S23" s="303" t="s">
        <v>694</v>
      </c>
      <c r="T23" s="303" t="s">
        <v>695</v>
      </c>
      <c r="U23" s="409"/>
    </row>
    <row r="24" spans="1:21" s="146" customFormat="1" ht="50.1" customHeight="1">
      <c r="A24" s="408"/>
      <c r="B24" s="283" t="s">
        <v>1203</v>
      </c>
      <c r="C24" s="288" t="s">
        <v>719</v>
      </c>
      <c r="D24" s="227" t="s">
        <v>2</v>
      </c>
      <c r="E24" s="227">
        <v>90</v>
      </c>
      <c r="F24" s="227">
        <v>0</v>
      </c>
      <c r="G24" s="227">
        <v>5</v>
      </c>
      <c r="H24" s="227">
        <v>0</v>
      </c>
      <c r="I24" s="227">
        <v>4</v>
      </c>
      <c r="J24" s="227">
        <v>4</v>
      </c>
      <c r="K24" s="227">
        <v>0</v>
      </c>
      <c r="L24" s="227">
        <v>10</v>
      </c>
      <c r="M24" s="227">
        <v>120</v>
      </c>
      <c r="N24" s="227">
        <v>5</v>
      </c>
      <c r="O24" s="227">
        <v>35</v>
      </c>
      <c r="P24" s="227">
        <v>5</v>
      </c>
      <c r="Q24" s="227">
        <v>10</v>
      </c>
      <c r="R24" s="227">
        <v>10</v>
      </c>
      <c r="S24" s="227">
        <v>5</v>
      </c>
      <c r="T24" s="227">
        <v>25</v>
      </c>
      <c r="U24" s="409"/>
    </row>
    <row r="25" spans="1:21" s="146" customFormat="1" ht="50.1" customHeight="1">
      <c r="A25" s="408"/>
      <c r="B25" s="451" t="s">
        <v>0</v>
      </c>
      <c r="C25" s="496" t="s">
        <v>626</v>
      </c>
      <c r="D25" s="505" t="s">
        <v>697</v>
      </c>
      <c r="E25" s="497" t="s">
        <v>679</v>
      </c>
      <c r="F25" s="497"/>
      <c r="G25" s="497"/>
      <c r="H25" s="497"/>
      <c r="I25" s="497"/>
      <c r="J25" s="497"/>
      <c r="K25" s="497"/>
      <c r="L25" s="497"/>
      <c r="M25" s="497" t="s">
        <v>680</v>
      </c>
      <c r="N25" s="497"/>
      <c r="O25" s="497"/>
      <c r="P25" s="497"/>
      <c r="Q25" s="497"/>
      <c r="R25" s="497"/>
      <c r="S25" s="497"/>
      <c r="T25" s="497"/>
      <c r="U25" s="409"/>
    </row>
    <row r="26" spans="1:21" s="146" customFormat="1" ht="81" customHeight="1">
      <c r="A26" s="408"/>
      <c r="B26" s="451"/>
      <c r="C26" s="496"/>
      <c r="D26" s="506"/>
      <c r="E26" s="303" t="s">
        <v>698</v>
      </c>
      <c r="F26" s="303" t="s">
        <v>699</v>
      </c>
      <c r="G26" s="303" t="s">
        <v>700</v>
      </c>
      <c r="H26" s="303" t="s">
        <v>701</v>
      </c>
      <c r="I26" s="480" t="s">
        <v>702</v>
      </c>
      <c r="J26" s="480"/>
      <c r="K26" s="480" t="s">
        <v>703</v>
      </c>
      <c r="L26" s="480"/>
      <c r="M26" s="303" t="s">
        <v>698</v>
      </c>
      <c r="N26" s="303" t="s">
        <v>699</v>
      </c>
      <c r="O26" s="303" t="s">
        <v>700</v>
      </c>
      <c r="P26" s="303" t="s">
        <v>701</v>
      </c>
      <c r="Q26" s="480" t="s">
        <v>702</v>
      </c>
      <c r="R26" s="480"/>
      <c r="S26" s="480" t="s">
        <v>703</v>
      </c>
      <c r="T26" s="480"/>
      <c r="U26" s="409"/>
    </row>
    <row r="27" spans="1:21" s="146" customFormat="1" ht="59.25" customHeight="1">
      <c r="A27" s="408"/>
      <c r="B27" s="283" t="s">
        <v>1204</v>
      </c>
      <c r="C27" s="288" t="s">
        <v>720</v>
      </c>
      <c r="D27" s="227" t="s">
        <v>1205</v>
      </c>
      <c r="E27" s="227">
        <v>0</v>
      </c>
      <c r="F27" s="227">
        <v>0</v>
      </c>
      <c r="G27" s="227">
        <v>0</v>
      </c>
      <c r="H27" s="227">
        <v>0</v>
      </c>
      <c r="I27" s="499">
        <v>0</v>
      </c>
      <c r="J27" s="499"/>
      <c r="K27" s="499">
        <v>0</v>
      </c>
      <c r="L27" s="499"/>
      <c r="M27" s="227">
        <v>10</v>
      </c>
      <c r="N27" s="227">
        <v>10</v>
      </c>
      <c r="O27" s="227">
        <v>10</v>
      </c>
      <c r="P27" s="227">
        <v>10</v>
      </c>
      <c r="Q27" s="499">
        <v>10</v>
      </c>
      <c r="R27" s="499"/>
      <c r="S27" s="499">
        <v>40</v>
      </c>
      <c r="T27" s="499"/>
      <c r="U27" s="409"/>
    </row>
    <row r="28" spans="1:21" ht="65.099999999999994" customHeight="1">
      <c r="A28" s="406"/>
      <c r="B28" s="406"/>
      <c r="C28" s="406"/>
      <c r="D28" s="406"/>
      <c r="E28" s="406"/>
      <c r="F28" s="406"/>
      <c r="G28" s="406"/>
      <c r="H28" s="406"/>
      <c r="I28" s="406"/>
      <c r="J28" s="406"/>
      <c r="K28" s="406"/>
      <c r="L28" s="406"/>
      <c r="M28" s="406"/>
      <c r="N28" s="406"/>
      <c r="O28" s="406"/>
      <c r="P28" s="406"/>
      <c r="Q28" s="406"/>
      <c r="R28" s="406"/>
      <c r="S28" s="406"/>
      <c r="T28" s="406"/>
      <c r="U28" s="407"/>
    </row>
  </sheetData>
  <mergeCells count="70">
    <mergeCell ref="A28:U28"/>
    <mergeCell ref="I27:J27"/>
    <mergeCell ref="K27:L27"/>
    <mergeCell ref="Q27:R27"/>
    <mergeCell ref="S27:T27"/>
    <mergeCell ref="B25:B26"/>
    <mergeCell ref="C25:C26"/>
    <mergeCell ref="D25:D26"/>
    <mergeCell ref="E25:L25"/>
    <mergeCell ref="M25:T25"/>
    <mergeCell ref="I26:J26"/>
    <mergeCell ref="K26:L26"/>
    <mergeCell ref="Q26:R26"/>
    <mergeCell ref="S26:T26"/>
    <mergeCell ref="O21:P21"/>
    <mergeCell ref="Q21:R21"/>
    <mergeCell ref="S21:T21"/>
    <mergeCell ref="B22:B23"/>
    <mergeCell ref="C22:C23"/>
    <mergeCell ref="D22:D23"/>
    <mergeCell ref="E22:L22"/>
    <mergeCell ref="M22:T22"/>
    <mergeCell ref="E21:F21"/>
    <mergeCell ref="G21:H21"/>
    <mergeCell ref="I21:J21"/>
    <mergeCell ref="K21:L21"/>
    <mergeCell ref="M21:N21"/>
    <mergeCell ref="Q18:R18"/>
    <mergeCell ref="S18:T18"/>
    <mergeCell ref="B19:B20"/>
    <mergeCell ref="C19:C20"/>
    <mergeCell ref="D19:D20"/>
    <mergeCell ref="E19:L19"/>
    <mergeCell ref="M19:T19"/>
    <mergeCell ref="E20:F20"/>
    <mergeCell ref="G20:H20"/>
    <mergeCell ref="I20:J20"/>
    <mergeCell ref="K20:L20"/>
    <mergeCell ref="M20:N20"/>
    <mergeCell ref="O20:P20"/>
    <mergeCell ref="Q20:R20"/>
    <mergeCell ref="S20:T20"/>
    <mergeCell ref="A13:U13"/>
    <mergeCell ref="A14:U14"/>
    <mergeCell ref="A15:U15"/>
    <mergeCell ref="A16:A27"/>
    <mergeCell ref="B16:B17"/>
    <mergeCell ref="C16:C17"/>
    <mergeCell ref="D16:D17"/>
    <mergeCell ref="E16:L16"/>
    <mergeCell ref="M16:T16"/>
    <mergeCell ref="U16:U27"/>
    <mergeCell ref="I17:J17"/>
    <mergeCell ref="K17:L17"/>
    <mergeCell ref="Q17:R17"/>
    <mergeCell ref="S17:T17"/>
    <mergeCell ref="I18:J18"/>
    <mergeCell ref="K18:L18"/>
    <mergeCell ref="A12:U12"/>
    <mergeCell ref="A1:U1"/>
    <mergeCell ref="A2:U2"/>
    <mergeCell ref="A3:U3"/>
    <mergeCell ref="A4:U4"/>
    <mergeCell ref="A5:U5"/>
    <mergeCell ref="A6:U6"/>
    <mergeCell ref="A7:U7"/>
    <mergeCell ref="A8:U8"/>
    <mergeCell ref="A9:U9"/>
    <mergeCell ref="A10:U10"/>
    <mergeCell ref="A11:U11"/>
  </mergeCells>
  <printOptions headings="1"/>
  <pageMargins left="0.7" right="0.7" top="0.75" bottom="0.75" header="0.3" footer="0.3"/>
  <pageSetup paperSize="9" scale="80" orientation="landscape" r:id="rId1"/>
  <rowBreaks count="2" manualBreakCount="2">
    <brk id="15" max="16383" man="1"/>
    <brk id="25" max="20" man="1"/>
  </rowBreaks>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1"/>
  <sheetViews>
    <sheetView showGridLines="0" rightToLeft="1" workbookViewId="0">
      <pane xSplit="14" topLeftCell="O1" activePane="topRight" state="frozen"/>
      <selection activeCell="F12" sqref="F12"/>
      <selection pane="topRight" sqref="A1:N1"/>
    </sheetView>
  </sheetViews>
  <sheetFormatPr defaultColWidth="10.6640625" defaultRowHeight="35.1" customHeight="1"/>
  <cols>
    <col min="1" max="1" width="7.6640625" style="35" customWidth="1"/>
    <col min="2" max="2" width="27.5" style="35" customWidth="1"/>
    <col min="3" max="3" width="13.1640625" style="35" customWidth="1"/>
    <col min="4" max="4" width="13.1640625" style="52" customWidth="1"/>
    <col min="5" max="13" width="10.1640625" style="52" customWidth="1"/>
    <col min="14" max="14" width="10.6640625" style="53" customWidth="1"/>
    <col min="15" max="18" width="8.6640625" style="32" customWidth="1"/>
    <col min="19" max="19" width="8.6640625" style="33" customWidth="1"/>
    <col min="20" max="20" width="13.33203125" style="34" customWidth="1"/>
    <col min="21" max="21" width="10.6640625" style="33"/>
    <col min="22" max="16384" width="10.6640625" style="35"/>
  </cols>
  <sheetData>
    <row r="1" spans="1:21" ht="51" customHeight="1">
      <c r="A1" s="539" t="s">
        <v>117</v>
      </c>
      <c r="B1" s="429"/>
      <c r="C1" s="429"/>
      <c r="D1" s="429"/>
      <c r="E1" s="429"/>
      <c r="F1" s="429"/>
      <c r="G1" s="429"/>
      <c r="H1" s="429"/>
      <c r="I1" s="429"/>
      <c r="J1" s="429"/>
      <c r="K1" s="429"/>
      <c r="L1" s="429"/>
      <c r="M1" s="429"/>
      <c r="N1" s="429"/>
    </row>
    <row r="2" spans="1:21" s="38" customFormat="1" ht="25.5" customHeight="1">
      <c r="A2" s="374" t="s">
        <v>0</v>
      </c>
      <c r="B2" s="374" t="s">
        <v>11</v>
      </c>
      <c r="C2" s="374" t="s">
        <v>102</v>
      </c>
      <c r="D2" s="375" t="s">
        <v>103</v>
      </c>
      <c r="E2" s="375" t="s">
        <v>104</v>
      </c>
      <c r="F2" s="375"/>
      <c r="G2" s="375"/>
      <c r="H2" s="375"/>
      <c r="I2" s="375"/>
      <c r="J2" s="375" t="s">
        <v>105</v>
      </c>
      <c r="K2" s="375"/>
      <c r="L2" s="375"/>
      <c r="M2" s="375"/>
      <c r="N2" s="375"/>
      <c r="O2" s="32"/>
      <c r="P2" s="32"/>
      <c r="Q2" s="32"/>
      <c r="R2" s="32"/>
      <c r="S2" s="36"/>
      <c r="T2" s="37"/>
      <c r="U2" s="36"/>
    </row>
    <row r="3" spans="1:21" s="38" customFormat="1" ht="20.100000000000001" customHeight="1">
      <c r="A3" s="374"/>
      <c r="B3" s="374"/>
      <c r="C3" s="374"/>
      <c r="D3" s="375"/>
      <c r="E3" s="375" t="s">
        <v>106</v>
      </c>
      <c r="F3" s="375"/>
      <c r="G3" s="461">
        <v>1397</v>
      </c>
      <c r="H3" s="461">
        <v>1398</v>
      </c>
      <c r="I3" s="461">
        <v>1399</v>
      </c>
      <c r="J3" s="461">
        <v>1400</v>
      </c>
      <c r="K3" s="461">
        <v>1401</v>
      </c>
      <c r="L3" s="461">
        <v>1402</v>
      </c>
      <c r="M3" s="461">
        <v>1403</v>
      </c>
      <c r="N3" s="461">
        <v>1404</v>
      </c>
      <c r="O3" s="32"/>
      <c r="P3" s="32"/>
      <c r="Q3" s="32"/>
      <c r="R3" s="32"/>
      <c r="S3" s="36"/>
      <c r="T3" s="37"/>
      <c r="U3" s="36"/>
    </row>
    <row r="4" spans="1:21" s="87" customFormat="1" ht="21.75" customHeight="1">
      <c r="A4" s="374"/>
      <c r="B4" s="374"/>
      <c r="C4" s="374"/>
      <c r="D4" s="375"/>
      <c r="E4" s="289">
        <v>1395</v>
      </c>
      <c r="F4" s="289">
        <v>1396</v>
      </c>
      <c r="G4" s="461"/>
      <c r="H4" s="461"/>
      <c r="I4" s="461"/>
      <c r="J4" s="461"/>
      <c r="K4" s="461"/>
      <c r="L4" s="461"/>
      <c r="M4" s="461"/>
      <c r="N4" s="461"/>
      <c r="O4" s="83"/>
      <c r="P4" s="83"/>
      <c r="Q4" s="84"/>
      <c r="R4" s="83"/>
      <c r="S4" s="85"/>
      <c r="T4" s="86"/>
      <c r="U4" s="85"/>
    </row>
    <row r="5" spans="1:21" s="87" customFormat="1" ht="30" customHeight="1">
      <c r="A5" s="290">
        <v>1</v>
      </c>
      <c r="B5" s="205" t="s">
        <v>14</v>
      </c>
      <c r="C5" s="206">
        <f>($A$200+$B$200)*'[35]نرخ تسهیم'!P3</f>
        <v>57989.0003325746</v>
      </c>
      <c r="D5" s="207">
        <f>C5*1.05</f>
        <v>60888.450349203333</v>
      </c>
      <c r="E5" s="207">
        <f t="shared" ref="E5:N5" si="0">D5*1.05</f>
        <v>63932.8728666635</v>
      </c>
      <c r="F5" s="207">
        <f t="shared" si="0"/>
        <v>67129.516509996683</v>
      </c>
      <c r="G5" s="207">
        <f t="shared" si="0"/>
        <v>70485.992335496514</v>
      </c>
      <c r="H5" s="207">
        <f t="shared" si="0"/>
        <v>74010.291952271349</v>
      </c>
      <c r="I5" s="207">
        <f t="shared" si="0"/>
        <v>77710.806549884917</v>
      </c>
      <c r="J5" s="207">
        <f t="shared" si="0"/>
        <v>81596.346877379168</v>
      </c>
      <c r="K5" s="207">
        <f t="shared" si="0"/>
        <v>85676.164221248124</v>
      </c>
      <c r="L5" s="207">
        <f t="shared" si="0"/>
        <v>89959.972432310533</v>
      </c>
      <c r="M5" s="207">
        <f t="shared" si="0"/>
        <v>94457.97105392607</v>
      </c>
      <c r="N5" s="207">
        <f t="shared" si="0"/>
        <v>99180.869606622378</v>
      </c>
      <c r="O5" s="83"/>
      <c r="P5" s="83"/>
      <c r="Q5" s="84"/>
      <c r="R5" s="84"/>
      <c r="S5" s="84"/>
      <c r="T5" s="86"/>
      <c r="U5" s="85"/>
    </row>
    <row r="6" spans="1:21" s="87" customFormat="1" ht="30" customHeight="1">
      <c r="A6" s="290">
        <v>2</v>
      </c>
      <c r="B6" s="205" t="s">
        <v>15</v>
      </c>
      <c r="C6" s="206">
        <f>($A$200+$B$200)*'[35]نرخ تسهیم'!P4</f>
        <v>70802.860250748083</v>
      </c>
      <c r="D6" s="207">
        <f t="shared" ref="D6:N21" si="1">C6*1.05</f>
        <v>74343.003263285485</v>
      </c>
      <c r="E6" s="207">
        <f t="shared" si="1"/>
        <v>78060.15342644976</v>
      </c>
      <c r="F6" s="207">
        <f t="shared" si="1"/>
        <v>81963.161097772245</v>
      </c>
      <c r="G6" s="207">
        <f t="shared" si="1"/>
        <v>86061.319152660857</v>
      </c>
      <c r="H6" s="207">
        <f t="shared" si="1"/>
        <v>90364.385110293908</v>
      </c>
      <c r="I6" s="207">
        <f t="shared" si="1"/>
        <v>94882.604365808613</v>
      </c>
      <c r="J6" s="207">
        <f t="shared" si="1"/>
        <v>99626.734584099046</v>
      </c>
      <c r="K6" s="207">
        <f t="shared" si="1"/>
        <v>104608.071313304</v>
      </c>
      <c r="L6" s="207">
        <f t="shared" si="1"/>
        <v>109838.47487896919</v>
      </c>
      <c r="M6" s="207">
        <f t="shared" si="1"/>
        <v>115330.39862291767</v>
      </c>
      <c r="N6" s="207">
        <f t="shared" si="1"/>
        <v>121096.91855406355</v>
      </c>
      <c r="O6" s="83"/>
      <c r="P6" s="83"/>
      <c r="Q6" s="84"/>
      <c r="R6" s="84"/>
      <c r="S6" s="84"/>
      <c r="T6" s="86"/>
      <c r="U6" s="85"/>
    </row>
    <row r="7" spans="1:21" s="87" customFormat="1" ht="30" customHeight="1">
      <c r="A7" s="290">
        <v>3</v>
      </c>
      <c r="B7" s="205" t="s">
        <v>16</v>
      </c>
      <c r="C7" s="206">
        <f>($A$200+$B$200)*'[35]نرخ تسهیم'!P5</f>
        <v>18450.253981021484</v>
      </c>
      <c r="D7" s="207">
        <f t="shared" si="1"/>
        <v>19372.76668007256</v>
      </c>
      <c r="E7" s="207">
        <f t="shared" si="1"/>
        <v>20341.40501407619</v>
      </c>
      <c r="F7" s="207">
        <f t="shared" si="1"/>
        <v>21358.475264780001</v>
      </c>
      <c r="G7" s="207">
        <f t="shared" si="1"/>
        <v>22426.399028019001</v>
      </c>
      <c r="H7" s="207">
        <f t="shared" si="1"/>
        <v>23547.718979419951</v>
      </c>
      <c r="I7" s="207">
        <f t="shared" si="1"/>
        <v>24725.104928390949</v>
      </c>
      <c r="J7" s="207">
        <f t="shared" si="1"/>
        <v>25961.360174810496</v>
      </c>
      <c r="K7" s="207">
        <f t="shared" si="1"/>
        <v>27259.428183551023</v>
      </c>
      <c r="L7" s="207">
        <f t="shared" si="1"/>
        <v>28622.399592728576</v>
      </c>
      <c r="M7" s="207">
        <f t="shared" si="1"/>
        <v>30053.519572365007</v>
      </c>
      <c r="N7" s="207">
        <f t="shared" si="1"/>
        <v>31556.195550983259</v>
      </c>
      <c r="O7" s="83"/>
      <c r="P7" s="83"/>
      <c r="Q7" s="84"/>
      <c r="R7" s="84"/>
      <c r="S7" s="84"/>
      <c r="T7" s="86"/>
      <c r="U7" s="85"/>
    </row>
    <row r="8" spans="1:21" s="87" customFormat="1" ht="30" customHeight="1">
      <c r="A8" s="290">
        <v>4</v>
      </c>
      <c r="B8" s="205" t="s">
        <v>17</v>
      </c>
      <c r="C8" s="206">
        <f>($A$200+$B$200)*'[35]نرخ تسهیم'!P6</f>
        <v>85866.186561049966</v>
      </c>
      <c r="D8" s="207">
        <f t="shared" si="1"/>
        <v>90159.495889102473</v>
      </c>
      <c r="E8" s="207">
        <f t="shared" si="1"/>
        <v>94667.470683557607</v>
      </c>
      <c r="F8" s="207">
        <f t="shared" si="1"/>
        <v>99400.844217735488</v>
      </c>
      <c r="G8" s="207">
        <f t="shared" si="1"/>
        <v>104370.88642862227</v>
      </c>
      <c r="H8" s="207">
        <f t="shared" si="1"/>
        <v>109589.43075005339</v>
      </c>
      <c r="I8" s="207">
        <f t="shared" si="1"/>
        <v>115068.90228755606</v>
      </c>
      <c r="J8" s="207">
        <f t="shared" si="1"/>
        <v>120822.34740193388</v>
      </c>
      <c r="K8" s="207">
        <f t="shared" si="1"/>
        <v>126863.46477203058</v>
      </c>
      <c r="L8" s="207">
        <f t="shared" si="1"/>
        <v>133206.6380106321</v>
      </c>
      <c r="M8" s="207">
        <f t="shared" si="1"/>
        <v>139866.9699111637</v>
      </c>
      <c r="N8" s="207">
        <f t="shared" si="1"/>
        <v>146860.3184067219</v>
      </c>
      <c r="O8" s="83"/>
      <c r="P8" s="83"/>
      <c r="Q8" s="84"/>
      <c r="R8" s="84"/>
      <c r="S8" s="84"/>
      <c r="T8" s="86"/>
      <c r="U8" s="85"/>
    </row>
    <row r="9" spans="1:21" s="87" customFormat="1" ht="30" customHeight="1">
      <c r="A9" s="290">
        <v>5</v>
      </c>
      <c r="B9" s="205" t="s">
        <v>18</v>
      </c>
      <c r="C9" s="206">
        <f>($A$200+$B$200)*'[35]نرخ تسهیم'!P7</f>
        <v>32664.53515562692</v>
      </c>
      <c r="D9" s="207">
        <f t="shared" si="1"/>
        <v>34297.761913408271</v>
      </c>
      <c r="E9" s="207">
        <f t="shared" si="1"/>
        <v>36012.650009078687</v>
      </c>
      <c r="F9" s="207">
        <f t="shared" si="1"/>
        <v>37813.282509532626</v>
      </c>
      <c r="G9" s="207">
        <f t="shared" si="1"/>
        <v>39703.946635009263</v>
      </c>
      <c r="H9" s="207">
        <f t="shared" si="1"/>
        <v>41689.14396675973</v>
      </c>
      <c r="I9" s="207">
        <f t="shared" si="1"/>
        <v>43773.601165097716</v>
      </c>
      <c r="J9" s="207">
        <f t="shared" si="1"/>
        <v>45962.281223352606</v>
      </c>
      <c r="K9" s="207">
        <f t="shared" si="1"/>
        <v>48260.395284520237</v>
      </c>
      <c r="L9" s="207">
        <f t="shared" si="1"/>
        <v>50673.415048746254</v>
      </c>
      <c r="M9" s="207">
        <f t="shared" si="1"/>
        <v>53207.085801183566</v>
      </c>
      <c r="N9" s="207">
        <f t="shared" si="1"/>
        <v>55867.440091242745</v>
      </c>
      <c r="O9" s="83"/>
      <c r="P9" s="83"/>
      <c r="Q9" s="84"/>
      <c r="R9" s="84"/>
      <c r="S9" s="84"/>
      <c r="T9" s="86"/>
      <c r="U9" s="85"/>
    </row>
    <row r="10" spans="1:21" s="87" customFormat="1" ht="30" customHeight="1">
      <c r="A10" s="290">
        <v>6</v>
      </c>
      <c r="B10" s="205" t="s">
        <v>19</v>
      </c>
      <c r="C10" s="206">
        <f>($A$200+$B$200)*'[35]نرخ تسهیم'!P8</f>
        <v>14937.824949159509</v>
      </c>
      <c r="D10" s="207">
        <f t="shared" si="1"/>
        <v>15684.716196617484</v>
      </c>
      <c r="E10" s="207">
        <f t="shared" si="1"/>
        <v>16468.952006448359</v>
      </c>
      <c r="F10" s="207">
        <f t="shared" si="1"/>
        <v>17292.399606770778</v>
      </c>
      <c r="G10" s="207">
        <f t="shared" si="1"/>
        <v>18157.019587109316</v>
      </c>
      <c r="H10" s="207">
        <f t="shared" si="1"/>
        <v>19064.870566464782</v>
      </c>
      <c r="I10" s="207">
        <f t="shared" si="1"/>
        <v>20018.114094788023</v>
      </c>
      <c r="J10" s="207">
        <f t="shared" si="1"/>
        <v>21019.019799527425</v>
      </c>
      <c r="K10" s="207">
        <f t="shared" si="1"/>
        <v>22069.970789503797</v>
      </c>
      <c r="L10" s="207">
        <f t="shared" si="1"/>
        <v>23173.469328978987</v>
      </c>
      <c r="M10" s="207">
        <f t="shared" si="1"/>
        <v>24332.142795427935</v>
      </c>
      <c r="N10" s="207">
        <f t="shared" si="1"/>
        <v>25548.749935199332</v>
      </c>
      <c r="O10" s="83"/>
      <c r="P10" s="83"/>
      <c r="Q10" s="84"/>
      <c r="R10" s="84"/>
      <c r="S10" s="84"/>
      <c r="T10" s="86"/>
      <c r="U10" s="85"/>
    </row>
    <row r="11" spans="1:21" s="87" customFormat="1" ht="30" customHeight="1">
      <c r="A11" s="290">
        <v>7</v>
      </c>
      <c r="B11" s="205" t="s">
        <v>20</v>
      </c>
      <c r="C11" s="206">
        <f>($A$200+$B$200)*'[35]نرخ تسهیم'!P9</f>
        <v>17437.616526712838</v>
      </c>
      <c r="D11" s="207">
        <f t="shared" si="1"/>
        <v>18309.497353048482</v>
      </c>
      <c r="E11" s="207">
        <f t="shared" si="1"/>
        <v>19224.972220700907</v>
      </c>
      <c r="F11" s="207">
        <f t="shared" si="1"/>
        <v>20186.220831735955</v>
      </c>
      <c r="G11" s="207">
        <f t="shared" si="1"/>
        <v>21195.531873322754</v>
      </c>
      <c r="H11" s="207">
        <f t="shared" si="1"/>
        <v>22255.308466988892</v>
      </c>
      <c r="I11" s="207">
        <f t="shared" si="1"/>
        <v>23368.073890338339</v>
      </c>
      <c r="J11" s="207">
        <f t="shared" si="1"/>
        <v>24536.477584855256</v>
      </c>
      <c r="K11" s="207">
        <f t="shared" si="1"/>
        <v>25763.301464098022</v>
      </c>
      <c r="L11" s="207">
        <f t="shared" si="1"/>
        <v>27051.466537302924</v>
      </c>
      <c r="M11" s="207">
        <f t="shared" si="1"/>
        <v>28404.039864168069</v>
      </c>
      <c r="N11" s="207">
        <f t="shared" si="1"/>
        <v>29824.241857376473</v>
      </c>
      <c r="O11" s="83"/>
      <c r="P11" s="83"/>
      <c r="Q11" s="84"/>
      <c r="R11" s="84"/>
      <c r="S11" s="84"/>
      <c r="T11" s="86"/>
      <c r="U11" s="85"/>
    </row>
    <row r="12" spans="1:21" s="87" customFormat="1" ht="30" customHeight="1">
      <c r="A12" s="290">
        <v>8</v>
      </c>
      <c r="B12" s="205" t="s">
        <v>21</v>
      </c>
      <c r="C12" s="206">
        <f>($A$200+$B$200)*'[35]نرخ تسهیم'!P10</f>
        <v>147864.39454606746</v>
      </c>
      <c r="D12" s="207">
        <f t="shared" si="1"/>
        <v>155257.61427337083</v>
      </c>
      <c r="E12" s="207">
        <f t="shared" si="1"/>
        <v>163020.49498703936</v>
      </c>
      <c r="F12" s="207">
        <f t="shared" si="1"/>
        <v>171171.51973639135</v>
      </c>
      <c r="G12" s="207">
        <f t="shared" si="1"/>
        <v>179730.09572321092</v>
      </c>
      <c r="H12" s="207">
        <f t="shared" si="1"/>
        <v>188716.60050937146</v>
      </c>
      <c r="I12" s="207">
        <f t="shared" si="1"/>
        <v>198152.43053484004</v>
      </c>
      <c r="J12" s="207">
        <f t="shared" si="1"/>
        <v>208060.05206158204</v>
      </c>
      <c r="K12" s="207">
        <f t="shared" si="1"/>
        <v>218463.05466466115</v>
      </c>
      <c r="L12" s="207">
        <f t="shared" si="1"/>
        <v>229386.20739789421</v>
      </c>
      <c r="M12" s="207">
        <f t="shared" si="1"/>
        <v>240855.51776778893</v>
      </c>
      <c r="N12" s="207">
        <f t="shared" si="1"/>
        <v>252898.2936561784</v>
      </c>
      <c r="O12" s="83"/>
      <c r="P12" s="83"/>
      <c r="Q12" s="84"/>
      <c r="R12" s="84"/>
      <c r="S12" s="84"/>
      <c r="T12" s="86"/>
      <c r="U12" s="85"/>
    </row>
    <row r="13" spans="1:21" s="87" customFormat="1" ht="30" customHeight="1">
      <c r="A13" s="290">
        <v>9</v>
      </c>
      <c r="B13" s="205" t="s">
        <v>22</v>
      </c>
      <c r="C13" s="206">
        <f>($A$200+$B$200)*'[35]نرخ تسهیم'!P11</f>
        <v>11409.257369354762</v>
      </c>
      <c r="D13" s="207">
        <f t="shared" si="1"/>
        <v>11979.720237822501</v>
      </c>
      <c r="E13" s="207">
        <f t="shared" si="1"/>
        <v>12578.706249713627</v>
      </c>
      <c r="F13" s="207">
        <f t="shared" si="1"/>
        <v>13207.641562199309</v>
      </c>
      <c r="G13" s="207">
        <f t="shared" si="1"/>
        <v>13868.023640309275</v>
      </c>
      <c r="H13" s="207">
        <f t="shared" si="1"/>
        <v>14561.42482232474</v>
      </c>
      <c r="I13" s="207">
        <f t="shared" si="1"/>
        <v>15289.496063440978</v>
      </c>
      <c r="J13" s="207">
        <f t="shared" si="1"/>
        <v>16053.970866613028</v>
      </c>
      <c r="K13" s="207">
        <f t="shared" si="1"/>
        <v>16856.669409943679</v>
      </c>
      <c r="L13" s="207">
        <f t="shared" si="1"/>
        <v>17699.502880440865</v>
      </c>
      <c r="M13" s="207">
        <f t="shared" si="1"/>
        <v>18584.478024462907</v>
      </c>
      <c r="N13" s="207">
        <f t="shared" si="1"/>
        <v>19513.701925686055</v>
      </c>
      <c r="O13" s="83"/>
      <c r="P13" s="83"/>
      <c r="Q13" s="84"/>
      <c r="R13" s="84"/>
      <c r="S13" s="84"/>
      <c r="T13" s="86"/>
      <c r="U13" s="85"/>
    </row>
    <row r="14" spans="1:21" s="87" customFormat="1" ht="30" customHeight="1">
      <c r="A14" s="290">
        <v>10</v>
      </c>
      <c r="B14" s="205" t="s">
        <v>23</v>
      </c>
      <c r="C14" s="206">
        <f>($A$200+$B$200)*'[35]نرخ تسهیم'!P12</f>
        <v>25909.171103452547</v>
      </c>
      <c r="D14" s="207">
        <f t="shared" si="1"/>
        <v>27204.629658625174</v>
      </c>
      <c r="E14" s="207">
        <f t="shared" si="1"/>
        <v>28564.861141556434</v>
      </c>
      <c r="F14" s="207">
        <f t="shared" si="1"/>
        <v>29993.104198634257</v>
      </c>
      <c r="G14" s="207">
        <f t="shared" si="1"/>
        <v>31492.759408565973</v>
      </c>
      <c r="H14" s="207">
        <f t="shared" si="1"/>
        <v>33067.397378994276</v>
      </c>
      <c r="I14" s="207">
        <f t="shared" si="1"/>
        <v>34720.767247943993</v>
      </c>
      <c r="J14" s="207">
        <f t="shared" si="1"/>
        <v>36456.805610341195</v>
      </c>
      <c r="K14" s="207">
        <f t="shared" si="1"/>
        <v>38279.645890858257</v>
      </c>
      <c r="L14" s="207">
        <f t="shared" si="1"/>
        <v>40193.628185401169</v>
      </c>
      <c r="M14" s="207">
        <f t="shared" si="1"/>
        <v>42203.309594671227</v>
      </c>
      <c r="N14" s="207">
        <f t="shared" si="1"/>
        <v>44313.475074404792</v>
      </c>
      <c r="O14" s="83"/>
      <c r="P14" s="83"/>
      <c r="Q14" s="84"/>
      <c r="R14" s="84"/>
      <c r="S14" s="84"/>
      <c r="T14" s="86"/>
      <c r="U14" s="85"/>
    </row>
    <row r="15" spans="1:21" s="87" customFormat="1" ht="30" customHeight="1">
      <c r="A15" s="290">
        <v>11</v>
      </c>
      <c r="B15" s="205" t="s">
        <v>24</v>
      </c>
      <c r="C15" s="206">
        <f>($A$200+$B$200)*'[35]نرخ تسهیم'!P13</f>
        <v>39840.805667438559</v>
      </c>
      <c r="D15" s="207">
        <f t="shared" si="1"/>
        <v>41832.845950810486</v>
      </c>
      <c r="E15" s="207">
        <f t="shared" si="1"/>
        <v>43924.488248351015</v>
      </c>
      <c r="F15" s="207">
        <f t="shared" si="1"/>
        <v>46120.712660768571</v>
      </c>
      <c r="G15" s="207">
        <f t="shared" si="1"/>
        <v>48426.748293807002</v>
      </c>
      <c r="H15" s="207">
        <f t="shared" si="1"/>
        <v>50848.085708497354</v>
      </c>
      <c r="I15" s="207">
        <f t="shared" si="1"/>
        <v>53390.489993922223</v>
      </c>
      <c r="J15" s="207">
        <f t="shared" si="1"/>
        <v>56060.014493618335</v>
      </c>
      <c r="K15" s="207">
        <f t="shared" si="1"/>
        <v>58863.015218299253</v>
      </c>
      <c r="L15" s="207">
        <f t="shared" si="1"/>
        <v>61806.165979214216</v>
      </c>
      <c r="M15" s="207">
        <f t="shared" si="1"/>
        <v>64896.47427817493</v>
      </c>
      <c r="N15" s="207">
        <f t="shared" si="1"/>
        <v>68141.297992083681</v>
      </c>
      <c r="O15" s="83"/>
      <c r="P15" s="83"/>
      <c r="Q15" s="84"/>
      <c r="R15" s="84"/>
      <c r="S15" s="84"/>
      <c r="T15" s="86"/>
      <c r="U15" s="85"/>
    </row>
    <row r="16" spans="1:21" s="87" customFormat="1" ht="30" customHeight="1">
      <c r="A16" s="290">
        <v>12</v>
      </c>
      <c r="B16" s="205" t="s">
        <v>25</v>
      </c>
      <c r="C16" s="206">
        <f>($A$200+$B$200)*'[35]نرخ تسهیم'!P14</f>
        <v>128934.51418302901</v>
      </c>
      <c r="D16" s="207">
        <f t="shared" si="1"/>
        <v>135381.23989218046</v>
      </c>
      <c r="E16" s="207">
        <f t="shared" si="1"/>
        <v>142150.30188678947</v>
      </c>
      <c r="F16" s="207">
        <f t="shared" si="1"/>
        <v>149257.81698112894</v>
      </c>
      <c r="G16" s="207">
        <f t="shared" si="1"/>
        <v>156720.70783018539</v>
      </c>
      <c r="H16" s="207">
        <f t="shared" si="1"/>
        <v>164556.74322169466</v>
      </c>
      <c r="I16" s="207">
        <f t="shared" si="1"/>
        <v>172784.58038277942</v>
      </c>
      <c r="J16" s="207">
        <f t="shared" si="1"/>
        <v>181423.80940191841</v>
      </c>
      <c r="K16" s="207">
        <f t="shared" si="1"/>
        <v>190494.99987201433</v>
      </c>
      <c r="L16" s="207">
        <f t="shared" si="1"/>
        <v>200019.74986561507</v>
      </c>
      <c r="M16" s="207">
        <f t="shared" si="1"/>
        <v>210020.73735889583</v>
      </c>
      <c r="N16" s="207">
        <f t="shared" si="1"/>
        <v>220521.77422684064</v>
      </c>
      <c r="O16" s="83"/>
      <c r="P16" s="83"/>
      <c r="Q16" s="84"/>
      <c r="R16" s="84"/>
      <c r="S16" s="84"/>
      <c r="T16" s="86"/>
      <c r="U16" s="85"/>
    </row>
    <row r="17" spans="1:21" s="87" customFormat="1" ht="30" customHeight="1">
      <c r="A17" s="290">
        <v>13</v>
      </c>
      <c r="B17" s="205" t="s">
        <v>26</v>
      </c>
      <c r="C17" s="206">
        <f>($A$200+$B$200)*'[35]نرخ تسهیم'!P15</f>
        <v>17582.626836925156</v>
      </c>
      <c r="D17" s="207">
        <f t="shared" si="1"/>
        <v>18461.758178771415</v>
      </c>
      <c r="E17" s="207">
        <f t="shared" si="1"/>
        <v>19384.846087709986</v>
      </c>
      <c r="F17" s="207">
        <f t="shared" si="1"/>
        <v>20354.088392095488</v>
      </c>
      <c r="G17" s="207">
        <f t="shared" si="1"/>
        <v>21371.792811700263</v>
      </c>
      <c r="H17" s="207">
        <f t="shared" si="1"/>
        <v>22440.382452285277</v>
      </c>
      <c r="I17" s="207">
        <f t="shared" si="1"/>
        <v>23562.401574899541</v>
      </c>
      <c r="J17" s="207">
        <f t="shared" si="1"/>
        <v>24740.521653644519</v>
      </c>
      <c r="K17" s="207">
        <f t="shared" si="1"/>
        <v>25977.547736326746</v>
      </c>
      <c r="L17" s="207">
        <f t="shared" si="1"/>
        <v>27276.425123143083</v>
      </c>
      <c r="M17" s="207">
        <f t="shared" si="1"/>
        <v>28640.246379300239</v>
      </c>
      <c r="N17" s="207">
        <f t="shared" si="1"/>
        <v>30072.258698265254</v>
      </c>
      <c r="O17" s="83"/>
      <c r="P17" s="83"/>
      <c r="Q17" s="84"/>
      <c r="R17" s="84"/>
      <c r="S17" s="84"/>
      <c r="T17" s="86"/>
      <c r="U17" s="85"/>
    </row>
    <row r="18" spans="1:21" s="87" customFormat="1" ht="30" customHeight="1">
      <c r="A18" s="290">
        <v>14</v>
      </c>
      <c r="B18" s="205" t="s">
        <v>27</v>
      </c>
      <c r="C18" s="206">
        <f>($A$200+$B$200)*'[35]نرخ تسهیم'!P16</f>
        <v>79333.796408167793</v>
      </c>
      <c r="D18" s="207">
        <f t="shared" si="1"/>
        <v>83300.486228576192</v>
      </c>
      <c r="E18" s="207">
        <f t="shared" si="1"/>
        <v>87465.510540005009</v>
      </c>
      <c r="F18" s="207">
        <f t="shared" si="1"/>
        <v>91838.786067005261</v>
      </c>
      <c r="G18" s="207">
        <f t="shared" si="1"/>
        <v>96430.725370355533</v>
      </c>
      <c r="H18" s="207">
        <f t="shared" si="1"/>
        <v>101252.26163887331</v>
      </c>
      <c r="I18" s="207">
        <f t="shared" si="1"/>
        <v>106314.87472081698</v>
      </c>
      <c r="J18" s="207">
        <f t="shared" si="1"/>
        <v>111630.61845685783</v>
      </c>
      <c r="K18" s="207">
        <f t="shared" si="1"/>
        <v>117212.14937970073</v>
      </c>
      <c r="L18" s="207">
        <f t="shared" si="1"/>
        <v>123072.75684868576</v>
      </c>
      <c r="M18" s="207">
        <f t="shared" si="1"/>
        <v>129226.39469112006</v>
      </c>
      <c r="N18" s="207">
        <f t="shared" si="1"/>
        <v>135687.71442567607</v>
      </c>
      <c r="O18" s="83"/>
      <c r="P18" s="83"/>
      <c r="Q18" s="84"/>
      <c r="R18" s="84"/>
      <c r="S18" s="84"/>
      <c r="T18" s="86"/>
      <c r="U18" s="85"/>
    </row>
    <row r="19" spans="1:21" s="87" customFormat="1" ht="30" customHeight="1">
      <c r="A19" s="290">
        <v>15</v>
      </c>
      <c r="B19" s="205" t="s">
        <v>28</v>
      </c>
      <c r="C19" s="206">
        <f>($A$200+$B$200)*'[35]نرخ تسهیم'!P17</f>
        <v>31947.584168067755</v>
      </c>
      <c r="D19" s="207">
        <f t="shared" si="1"/>
        <v>33544.963376471147</v>
      </c>
      <c r="E19" s="207">
        <f t="shared" si="1"/>
        <v>35222.211545294704</v>
      </c>
      <c r="F19" s="207">
        <f t="shared" si="1"/>
        <v>36983.322122559439</v>
      </c>
      <c r="G19" s="207">
        <f t="shared" si="1"/>
        <v>38832.488228687413</v>
      </c>
      <c r="H19" s="207">
        <f t="shared" si="1"/>
        <v>40774.112640121784</v>
      </c>
      <c r="I19" s="207">
        <f t="shared" si="1"/>
        <v>42812.818272127872</v>
      </c>
      <c r="J19" s="207">
        <f t="shared" si="1"/>
        <v>44953.459185734268</v>
      </c>
      <c r="K19" s="207">
        <f t="shared" si="1"/>
        <v>47201.13214502098</v>
      </c>
      <c r="L19" s="207">
        <f t="shared" si="1"/>
        <v>49561.188752272028</v>
      </c>
      <c r="M19" s="207">
        <f t="shared" si="1"/>
        <v>52039.248189885635</v>
      </c>
      <c r="N19" s="207">
        <f t="shared" si="1"/>
        <v>54641.21059937992</v>
      </c>
      <c r="O19" s="83"/>
      <c r="P19" s="83"/>
      <c r="Q19" s="84"/>
      <c r="R19" s="84"/>
      <c r="S19" s="84"/>
      <c r="T19" s="86"/>
      <c r="U19" s="85"/>
    </row>
    <row r="20" spans="1:21" s="87" customFormat="1" ht="30" customHeight="1">
      <c r="A20" s="290">
        <v>16</v>
      </c>
      <c r="B20" s="205" t="s">
        <v>29</v>
      </c>
      <c r="C20" s="206">
        <f>($A$200+$B$200)*'[35]نرخ تسهیم'!P18</f>
        <v>28993.613757470484</v>
      </c>
      <c r="D20" s="207">
        <f t="shared" si="1"/>
        <v>30443.29444534401</v>
      </c>
      <c r="E20" s="207">
        <f t="shared" si="1"/>
        <v>31965.459167611214</v>
      </c>
      <c r="F20" s="207">
        <f t="shared" si="1"/>
        <v>33563.732125991774</v>
      </c>
      <c r="G20" s="207">
        <f t="shared" si="1"/>
        <v>35241.918732291364</v>
      </c>
      <c r="H20" s="207">
        <f t="shared" si="1"/>
        <v>37004.014668905933</v>
      </c>
      <c r="I20" s="207">
        <f t="shared" si="1"/>
        <v>38854.215402351234</v>
      </c>
      <c r="J20" s="207">
        <f t="shared" si="1"/>
        <v>40796.926172468797</v>
      </c>
      <c r="K20" s="207">
        <f t="shared" si="1"/>
        <v>42836.772481092237</v>
      </c>
      <c r="L20" s="207">
        <f t="shared" si="1"/>
        <v>44978.611105146854</v>
      </c>
      <c r="M20" s="207">
        <f t="shared" si="1"/>
        <v>47227.541660404197</v>
      </c>
      <c r="N20" s="207">
        <f t="shared" si="1"/>
        <v>49588.918743424409</v>
      </c>
      <c r="O20" s="83"/>
      <c r="P20" s="83"/>
      <c r="Q20" s="84"/>
      <c r="R20" s="84"/>
      <c r="S20" s="84"/>
      <c r="T20" s="86"/>
      <c r="U20" s="85"/>
    </row>
    <row r="21" spans="1:21" s="87" customFormat="1" ht="30" customHeight="1">
      <c r="A21" s="290">
        <v>17</v>
      </c>
      <c r="B21" s="205" t="s">
        <v>30</v>
      </c>
      <c r="C21" s="206">
        <f>($A$200+$B$200)*'[35]نرخ تسهیم'!P19</f>
        <v>22519.859725454953</v>
      </c>
      <c r="D21" s="207">
        <f t="shared" si="1"/>
        <v>23645.852711727701</v>
      </c>
      <c r="E21" s="207">
        <f t="shared" si="1"/>
        <v>24828.145347314086</v>
      </c>
      <c r="F21" s="207">
        <f t="shared" si="1"/>
        <v>26069.552614679793</v>
      </c>
      <c r="G21" s="207">
        <f t="shared" si="1"/>
        <v>27373.030245413785</v>
      </c>
      <c r="H21" s="207">
        <f t="shared" si="1"/>
        <v>28741.681757684477</v>
      </c>
      <c r="I21" s="207">
        <f t="shared" si="1"/>
        <v>30178.765845568701</v>
      </c>
      <c r="J21" s="207">
        <f t="shared" si="1"/>
        <v>31687.704137847137</v>
      </c>
      <c r="K21" s="207">
        <f t="shared" si="1"/>
        <v>33272.089344739492</v>
      </c>
      <c r="L21" s="207">
        <f t="shared" si="1"/>
        <v>34935.693811976467</v>
      </c>
      <c r="M21" s="207">
        <f t="shared" si="1"/>
        <v>36682.478502575294</v>
      </c>
      <c r="N21" s="207">
        <f t="shared" si="1"/>
        <v>38516.602427704063</v>
      </c>
      <c r="O21" s="83"/>
      <c r="P21" s="83"/>
      <c r="Q21" s="84"/>
      <c r="R21" s="84"/>
      <c r="S21" s="84"/>
      <c r="T21" s="86"/>
      <c r="U21" s="85"/>
    </row>
    <row r="22" spans="1:21" s="87" customFormat="1" ht="30" customHeight="1">
      <c r="A22" s="290">
        <v>18</v>
      </c>
      <c r="B22" s="205" t="s">
        <v>31</v>
      </c>
      <c r="C22" s="206">
        <f>($A$200+$B$200)*'[35]نرخ تسهیم'!P20</f>
        <v>103461.57347050343</v>
      </c>
      <c r="D22" s="207">
        <f t="shared" ref="D22:N36" si="2">C22*1.05</f>
        <v>108634.6521440286</v>
      </c>
      <c r="E22" s="207">
        <f t="shared" si="2"/>
        <v>114066.38475123004</v>
      </c>
      <c r="F22" s="207">
        <f t="shared" si="2"/>
        <v>119769.70398879155</v>
      </c>
      <c r="G22" s="207">
        <f t="shared" si="2"/>
        <v>125758.18918823113</v>
      </c>
      <c r="H22" s="207">
        <f t="shared" si="2"/>
        <v>132046.09864764271</v>
      </c>
      <c r="I22" s="207">
        <f t="shared" si="2"/>
        <v>138648.40358002484</v>
      </c>
      <c r="J22" s="207">
        <f t="shared" si="2"/>
        <v>145580.8237590261</v>
      </c>
      <c r="K22" s="207">
        <f t="shared" si="2"/>
        <v>152859.86494697741</v>
      </c>
      <c r="L22" s="207">
        <f t="shared" si="2"/>
        <v>160502.85819432628</v>
      </c>
      <c r="M22" s="207">
        <f t="shared" si="2"/>
        <v>168528.0011040426</v>
      </c>
      <c r="N22" s="207">
        <f t="shared" si="2"/>
        <v>176954.40115924474</v>
      </c>
      <c r="O22" s="83"/>
      <c r="P22" s="83"/>
      <c r="Q22" s="84"/>
      <c r="R22" s="84"/>
      <c r="S22" s="84"/>
      <c r="T22" s="86"/>
      <c r="U22" s="85"/>
    </row>
    <row r="23" spans="1:21" s="87" customFormat="1" ht="30" customHeight="1">
      <c r="A23" s="290">
        <v>19</v>
      </c>
      <c r="B23" s="205" t="s">
        <v>32</v>
      </c>
      <c r="C23" s="206">
        <f>($A$200+$B$200)*'[35]نرخ تسهیم'!P21</f>
        <v>35180.674570338393</v>
      </c>
      <c r="D23" s="207">
        <f t="shared" si="2"/>
        <v>36939.708298855316</v>
      </c>
      <c r="E23" s="207">
        <f t="shared" si="2"/>
        <v>38786.693713798086</v>
      </c>
      <c r="F23" s="207">
        <f t="shared" si="2"/>
        <v>40726.028399487994</v>
      </c>
      <c r="G23" s="207">
        <f t="shared" si="2"/>
        <v>42762.329819462393</v>
      </c>
      <c r="H23" s="207">
        <f t="shared" si="2"/>
        <v>44900.446310435516</v>
      </c>
      <c r="I23" s="207">
        <f t="shared" si="2"/>
        <v>47145.468625957292</v>
      </c>
      <c r="J23" s="207">
        <f t="shared" si="2"/>
        <v>49502.742057255156</v>
      </c>
      <c r="K23" s="207">
        <f t="shared" si="2"/>
        <v>51977.879160117918</v>
      </c>
      <c r="L23" s="207">
        <f t="shared" si="2"/>
        <v>54576.77311812382</v>
      </c>
      <c r="M23" s="207">
        <f t="shared" si="2"/>
        <v>57305.611774030011</v>
      </c>
      <c r="N23" s="207">
        <f t="shared" si="2"/>
        <v>60170.892362731516</v>
      </c>
      <c r="O23" s="83"/>
      <c r="P23" s="83"/>
      <c r="Q23" s="84"/>
      <c r="R23" s="84"/>
      <c r="S23" s="84"/>
      <c r="T23" s="86"/>
      <c r="U23" s="85"/>
    </row>
    <row r="24" spans="1:21" s="87" customFormat="1" ht="30" customHeight="1">
      <c r="A24" s="290">
        <v>20</v>
      </c>
      <c r="B24" s="205" t="s">
        <v>33</v>
      </c>
      <c r="C24" s="206">
        <f>($A$200+$B$200)*'[35]نرخ تسهیم'!P22</f>
        <v>48737.997903176212</v>
      </c>
      <c r="D24" s="207">
        <f t="shared" si="2"/>
        <v>51174.897798335027</v>
      </c>
      <c r="E24" s="207">
        <f t="shared" si="2"/>
        <v>53733.642688251777</v>
      </c>
      <c r="F24" s="207">
        <f t="shared" si="2"/>
        <v>56420.32482266437</v>
      </c>
      <c r="G24" s="207">
        <f t="shared" si="2"/>
        <v>59241.34106379759</v>
      </c>
      <c r="H24" s="207">
        <f t="shared" si="2"/>
        <v>62203.40811698747</v>
      </c>
      <c r="I24" s="207">
        <f t="shared" si="2"/>
        <v>65313.578522836848</v>
      </c>
      <c r="J24" s="207">
        <f t="shared" si="2"/>
        <v>68579.257448978693</v>
      </c>
      <c r="K24" s="207">
        <f t="shared" si="2"/>
        <v>72008.220321427638</v>
      </c>
      <c r="L24" s="207">
        <f t="shared" si="2"/>
        <v>75608.631337499028</v>
      </c>
      <c r="M24" s="207">
        <f t="shared" si="2"/>
        <v>79389.062904373975</v>
      </c>
      <c r="N24" s="207">
        <f t="shared" si="2"/>
        <v>83358.516049592683</v>
      </c>
      <c r="O24" s="83"/>
      <c r="P24" s="83"/>
      <c r="Q24" s="84"/>
      <c r="R24" s="84"/>
      <c r="S24" s="84"/>
      <c r="T24" s="86"/>
      <c r="U24" s="85"/>
    </row>
    <row r="25" spans="1:21" s="87" customFormat="1" ht="30" customHeight="1">
      <c r="A25" s="290">
        <v>21</v>
      </c>
      <c r="B25" s="205" t="s">
        <v>34</v>
      </c>
      <c r="C25" s="206">
        <f>($A$200+$B$200)*'[35]نرخ تسهیم'!P23</f>
        <v>27832.973067522926</v>
      </c>
      <c r="D25" s="207">
        <f t="shared" si="2"/>
        <v>29224.621720899075</v>
      </c>
      <c r="E25" s="207">
        <f t="shared" si="2"/>
        <v>30685.852806944029</v>
      </c>
      <c r="F25" s="207">
        <f t="shared" si="2"/>
        <v>32220.14544729123</v>
      </c>
      <c r="G25" s="207">
        <f t="shared" si="2"/>
        <v>33831.152719655794</v>
      </c>
      <c r="H25" s="207">
        <f t="shared" si="2"/>
        <v>35522.710355638585</v>
      </c>
      <c r="I25" s="207">
        <f t="shared" si="2"/>
        <v>37298.845873420512</v>
      </c>
      <c r="J25" s="207">
        <f t="shared" si="2"/>
        <v>39163.788167091538</v>
      </c>
      <c r="K25" s="207">
        <f t="shared" si="2"/>
        <v>41121.977575446115</v>
      </c>
      <c r="L25" s="207">
        <f t="shared" si="2"/>
        <v>43178.076454218426</v>
      </c>
      <c r="M25" s="207">
        <f t="shared" si="2"/>
        <v>45336.980276929353</v>
      </c>
      <c r="N25" s="207">
        <f t="shared" si="2"/>
        <v>47603.829290775822</v>
      </c>
      <c r="O25" s="83"/>
      <c r="P25" s="83"/>
      <c r="Q25" s="84"/>
      <c r="R25" s="84"/>
      <c r="S25" s="84"/>
      <c r="T25" s="86"/>
      <c r="U25" s="85"/>
    </row>
    <row r="26" spans="1:21" s="87" customFormat="1" ht="30" customHeight="1">
      <c r="A26" s="290">
        <v>22</v>
      </c>
      <c r="B26" s="205" t="s">
        <v>35</v>
      </c>
      <c r="C26" s="206">
        <f>($A$200+$B$200)*'[35]نرخ تسهیم'!P24</f>
        <v>23548.928238847689</v>
      </c>
      <c r="D26" s="207">
        <f t="shared" si="2"/>
        <v>24726.374650790076</v>
      </c>
      <c r="E26" s="207">
        <f t="shared" si="2"/>
        <v>25962.693383329581</v>
      </c>
      <c r="F26" s="207">
        <f t="shared" si="2"/>
        <v>27260.828052496061</v>
      </c>
      <c r="G26" s="207">
        <f t="shared" si="2"/>
        <v>28623.869455120865</v>
      </c>
      <c r="H26" s="207">
        <f t="shared" si="2"/>
        <v>30055.062927876908</v>
      </c>
      <c r="I26" s="207">
        <f t="shared" si="2"/>
        <v>31557.816074270755</v>
      </c>
      <c r="J26" s="207">
        <f t="shared" si="2"/>
        <v>33135.706877984296</v>
      </c>
      <c r="K26" s="207">
        <f t="shared" si="2"/>
        <v>34792.492221883513</v>
      </c>
      <c r="L26" s="207">
        <f t="shared" si="2"/>
        <v>36532.116832977692</v>
      </c>
      <c r="M26" s="207">
        <f t="shared" si="2"/>
        <v>38358.722674626581</v>
      </c>
      <c r="N26" s="207">
        <f t="shared" si="2"/>
        <v>40276.658808357912</v>
      </c>
      <c r="O26" s="83"/>
      <c r="P26" s="83"/>
      <c r="Q26" s="84"/>
      <c r="R26" s="84"/>
      <c r="S26" s="84"/>
      <c r="T26" s="86"/>
      <c r="U26" s="85"/>
    </row>
    <row r="27" spans="1:21" s="87" customFormat="1" ht="30" customHeight="1">
      <c r="A27" s="290">
        <v>23</v>
      </c>
      <c r="B27" s="205" t="s">
        <v>36</v>
      </c>
      <c r="C27" s="206">
        <f>($A$200+$B$200)*'[35]نرخ تسهیم'!P25</f>
        <v>69339.318121072676</v>
      </c>
      <c r="D27" s="207">
        <f t="shared" si="2"/>
        <v>72806.284027126312</v>
      </c>
      <c r="E27" s="207">
        <f t="shared" si="2"/>
        <v>76446.598228482631</v>
      </c>
      <c r="F27" s="207">
        <f t="shared" si="2"/>
        <v>80268.92813990677</v>
      </c>
      <c r="G27" s="207">
        <f t="shared" si="2"/>
        <v>84282.374546902109</v>
      </c>
      <c r="H27" s="207">
        <f t="shared" si="2"/>
        <v>88496.493274247216</v>
      </c>
      <c r="I27" s="207">
        <f t="shared" si="2"/>
        <v>92921.317937959582</v>
      </c>
      <c r="J27" s="207">
        <f t="shared" si="2"/>
        <v>97567.383834857566</v>
      </c>
      <c r="K27" s="207">
        <f t="shared" si="2"/>
        <v>102445.75302660045</v>
      </c>
      <c r="L27" s="207">
        <f t="shared" si="2"/>
        <v>107568.04067793048</v>
      </c>
      <c r="M27" s="207">
        <f t="shared" si="2"/>
        <v>112946.44271182701</v>
      </c>
      <c r="N27" s="207">
        <f t="shared" si="2"/>
        <v>118593.76484741837</v>
      </c>
      <c r="O27" s="83"/>
      <c r="P27" s="83"/>
      <c r="Q27" s="84"/>
      <c r="R27" s="84"/>
      <c r="S27" s="84"/>
      <c r="T27" s="86"/>
      <c r="U27" s="85"/>
    </row>
    <row r="28" spans="1:21" s="87" customFormat="1" ht="30" customHeight="1">
      <c r="A28" s="290">
        <v>24</v>
      </c>
      <c r="B28" s="205" t="s">
        <v>37</v>
      </c>
      <c r="C28" s="206">
        <f>($A$200+$B$200)*'[35]نرخ تسهیم'!P26</f>
        <v>13316.579038212707</v>
      </c>
      <c r="D28" s="207">
        <f t="shared" si="2"/>
        <v>13982.407990123344</v>
      </c>
      <c r="E28" s="207">
        <f t="shared" si="2"/>
        <v>14681.528389629511</v>
      </c>
      <c r="F28" s="207">
        <f t="shared" si="2"/>
        <v>15415.604809110988</v>
      </c>
      <c r="G28" s="207">
        <f t="shared" si="2"/>
        <v>16186.385049566537</v>
      </c>
      <c r="H28" s="207">
        <f t="shared" si="2"/>
        <v>16995.704302044865</v>
      </c>
      <c r="I28" s="207">
        <f t="shared" si="2"/>
        <v>17845.489517147111</v>
      </c>
      <c r="J28" s="207">
        <f t="shared" si="2"/>
        <v>18737.763993004468</v>
      </c>
      <c r="K28" s="207">
        <f t="shared" si="2"/>
        <v>19674.652192654692</v>
      </c>
      <c r="L28" s="207">
        <f t="shared" si="2"/>
        <v>20658.384802287426</v>
      </c>
      <c r="M28" s="207">
        <f t="shared" si="2"/>
        <v>21691.3040424018</v>
      </c>
      <c r="N28" s="207">
        <f t="shared" si="2"/>
        <v>22775.869244521891</v>
      </c>
      <c r="O28" s="83"/>
      <c r="P28" s="83"/>
      <c r="Q28" s="84"/>
      <c r="R28" s="84"/>
      <c r="S28" s="84"/>
      <c r="T28" s="86"/>
      <c r="U28" s="85"/>
    </row>
    <row r="29" spans="1:21" s="87" customFormat="1" ht="30" customHeight="1">
      <c r="A29" s="290">
        <v>25</v>
      </c>
      <c r="B29" s="205" t="s">
        <v>38</v>
      </c>
      <c r="C29" s="206">
        <f>($A$200+$B$200)*'[35]نرخ تسهیم'!P27</f>
        <v>86061.273571720216</v>
      </c>
      <c r="D29" s="207">
        <f t="shared" si="2"/>
        <v>90364.337250306227</v>
      </c>
      <c r="E29" s="207">
        <f t="shared" si="2"/>
        <v>94882.554112821541</v>
      </c>
      <c r="F29" s="207">
        <f t="shared" si="2"/>
        <v>99626.681818462617</v>
      </c>
      <c r="G29" s="207">
        <f t="shared" si="2"/>
        <v>104608.01590938575</v>
      </c>
      <c r="H29" s="207">
        <f t="shared" si="2"/>
        <v>109838.41670485504</v>
      </c>
      <c r="I29" s="207">
        <f t="shared" si="2"/>
        <v>115330.3375400978</v>
      </c>
      <c r="J29" s="207">
        <f t="shared" si="2"/>
        <v>121096.85441710269</v>
      </c>
      <c r="K29" s="207">
        <f t="shared" si="2"/>
        <v>127151.69713795783</v>
      </c>
      <c r="L29" s="207">
        <f t="shared" si="2"/>
        <v>133509.28199485573</v>
      </c>
      <c r="M29" s="207">
        <f t="shared" si="2"/>
        <v>140184.74609459852</v>
      </c>
      <c r="N29" s="207">
        <f t="shared" si="2"/>
        <v>147193.98339932846</v>
      </c>
      <c r="O29" s="83"/>
      <c r="P29" s="83"/>
      <c r="Q29" s="84"/>
      <c r="R29" s="84"/>
      <c r="S29" s="84"/>
      <c r="T29" s="86"/>
      <c r="U29" s="85"/>
    </row>
    <row r="30" spans="1:21" s="87" customFormat="1" ht="30" customHeight="1">
      <c r="A30" s="290">
        <v>26</v>
      </c>
      <c r="B30" s="205" t="s">
        <v>39</v>
      </c>
      <c r="C30" s="206">
        <f>($A$200+$B$200)*'[35]نرخ تسهیم'!P28</f>
        <v>46640.886564057597</v>
      </c>
      <c r="D30" s="207">
        <f t="shared" si="2"/>
        <v>48972.930892260476</v>
      </c>
      <c r="E30" s="207">
        <f t="shared" si="2"/>
        <v>51421.5774368735</v>
      </c>
      <c r="F30" s="207">
        <f t="shared" si="2"/>
        <v>53992.656308717174</v>
      </c>
      <c r="G30" s="207">
        <f t="shared" si="2"/>
        <v>56692.289124153038</v>
      </c>
      <c r="H30" s="207">
        <f t="shared" si="2"/>
        <v>59526.903580360689</v>
      </c>
      <c r="I30" s="207">
        <f t="shared" si="2"/>
        <v>62503.24875937873</v>
      </c>
      <c r="J30" s="207">
        <f t="shared" si="2"/>
        <v>65628.411197347668</v>
      </c>
      <c r="K30" s="207">
        <f t="shared" si="2"/>
        <v>68909.831757215055</v>
      </c>
      <c r="L30" s="207">
        <f t="shared" si="2"/>
        <v>72355.323345075813</v>
      </c>
      <c r="M30" s="207">
        <f t="shared" si="2"/>
        <v>75973.089512329607</v>
      </c>
      <c r="N30" s="207">
        <f t="shared" si="2"/>
        <v>79771.743987946087</v>
      </c>
      <c r="O30" s="83"/>
      <c r="P30" s="83"/>
      <c r="Q30" s="84"/>
      <c r="R30" s="84"/>
      <c r="S30" s="84"/>
      <c r="T30" s="86"/>
      <c r="U30" s="85"/>
    </row>
    <row r="31" spans="1:21" s="87" customFormat="1" ht="30" customHeight="1">
      <c r="A31" s="290">
        <v>27</v>
      </c>
      <c r="B31" s="205" t="s">
        <v>40</v>
      </c>
      <c r="C31" s="206">
        <f>($A$200+$B$200)*'[35]نرخ تسهیم'!P29</f>
        <v>96927.008790880456</v>
      </c>
      <c r="D31" s="207">
        <f t="shared" si="2"/>
        <v>101773.35923042448</v>
      </c>
      <c r="E31" s="207">
        <f t="shared" si="2"/>
        <v>106862.02719194572</v>
      </c>
      <c r="F31" s="207">
        <f t="shared" si="2"/>
        <v>112205.12855154301</v>
      </c>
      <c r="G31" s="207">
        <f t="shared" si="2"/>
        <v>117815.38497912016</v>
      </c>
      <c r="H31" s="207">
        <f t="shared" si="2"/>
        <v>123706.15422807618</v>
      </c>
      <c r="I31" s="207">
        <f t="shared" si="2"/>
        <v>129891.46193948</v>
      </c>
      <c r="J31" s="207">
        <f t="shared" si="2"/>
        <v>136386.03503645401</v>
      </c>
      <c r="K31" s="207">
        <f t="shared" si="2"/>
        <v>143205.33678827671</v>
      </c>
      <c r="L31" s="207">
        <f t="shared" si="2"/>
        <v>150365.60362769055</v>
      </c>
      <c r="M31" s="207">
        <f t="shared" si="2"/>
        <v>157883.88380907508</v>
      </c>
      <c r="N31" s="207">
        <f t="shared" si="2"/>
        <v>165778.07799952885</v>
      </c>
      <c r="O31" s="83"/>
      <c r="P31" s="83"/>
      <c r="Q31" s="84"/>
      <c r="R31" s="84"/>
      <c r="S31" s="84"/>
      <c r="T31" s="86"/>
      <c r="U31" s="85"/>
    </row>
    <row r="32" spans="1:21" s="87" customFormat="1" ht="30" customHeight="1">
      <c r="A32" s="290">
        <v>28</v>
      </c>
      <c r="B32" s="205" t="s">
        <v>41</v>
      </c>
      <c r="C32" s="206">
        <f>($A$200+$B$200)*'[35]نرخ تسهیم'!P30</f>
        <v>129040.69821202527</v>
      </c>
      <c r="D32" s="207">
        <f t="shared" si="2"/>
        <v>135492.73312262652</v>
      </c>
      <c r="E32" s="207">
        <f t="shared" si="2"/>
        <v>142267.36977875786</v>
      </c>
      <c r="F32" s="207">
        <f t="shared" si="2"/>
        <v>149380.73826769576</v>
      </c>
      <c r="G32" s="207">
        <f t="shared" si="2"/>
        <v>156849.77518108056</v>
      </c>
      <c r="H32" s="207">
        <f t="shared" si="2"/>
        <v>164692.26394013461</v>
      </c>
      <c r="I32" s="207">
        <f t="shared" si="2"/>
        <v>172926.87713714136</v>
      </c>
      <c r="J32" s="207">
        <f t="shared" si="2"/>
        <v>181573.22099399843</v>
      </c>
      <c r="K32" s="207">
        <f t="shared" si="2"/>
        <v>190651.88204369837</v>
      </c>
      <c r="L32" s="207">
        <f t="shared" si="2"/>
        <v>200184.47614588329</v>
      </c>
      <c r="M32" s="207">
        <f t="shared" si="2"/>
        <v>210193.69995317748</v>
      </c>
      <c r="N32" s="207">
        <f t="shared" si="2"/>
        <v>220703.38495083636</v>
      </c>
      <c r="O32" s="83"/>
      <c r="P32" s="83"/>
      <c r="Q32" s="84"/>
      <c r="R32" s="84"/>
      <c r="S32" s="84"/>
      <c r="T32" s="86"/>
      <c r="U32" s="85"/>
    </row>
    <row r="33" spans="1:21" s="87" customFormat="1" ht="30" customHeight="1">
      <c r="A33" s="290">
        <v>29</v>
      </c>
      <c r="B33" s="205" t="s">
        <v>42</v>
      </c>
      <c r="C33" s="206">
        <f>($A$200+$B$200)*'[35]نرخ تسهیم'!P31</f>
        <v>49263.423278493625</v>
      </c>
      <c r="D33" s="207">
        <f t="shared" si="2"/>
        <v>51726.594442418311</v>
      </c>
      <c r="E33" s="207">
        <f t="shared" si="2"/>
        <v>54312.924164539232</v>
      </c>
      <c r="F33" s="207">
        <f t="shared" si="2"/>
        <v>57028.570372766197</v>
      </c>
      <c r="G33" s="207">
        <f t="shared" si="2"/>
        <v>59879.99889140451</v>
      </c>
      <c r="H33" s="207">
        <f t="shared" si="2"/>
        <v>62873.998835974737</v>
      </c>
      <c r="I33" s="207">
        <f t="shared" si="2"/>
        <v>66017.698777773476</v>
      </c>
      <c r="J33" s="207">
        <f t="shared" si="2"/>
        <v>69318.58371666215</v>
      </c>
      <c r="K33" s="207">
        <f t="shared" si="2"/>
        <v>72784.512902495262</v>
      </c>
      <c r="L33" s="207">
        <f t="shared" si="2"/>
        <v>76423.738547620029</v>
      </c>
      <c r="M33" s="207">
        <f t="shared" si="2"/>
        <v>80244.92547500103</v>
      </c>
      <c r="N33" s="207">
        <f t="shared" si="2"/>
        <v>84257.17174875109</v>
      </c>
      <c r="O33" s="83"/>
      <c r="P33" s="83"/>
      <c r="Q33" s="84"/>
      <c r="R33" s="84"/>
      <c r="S33" s="84"/>
      <c r="T33" s="86"/>
      <c r="U33" s="85"/>
    </row>
    <row r="34" spans="1:21" s="87" customFormat="1" ht="30" customHeight="1">
      <c r="A34" s="290">
        <v>30</v>
      </c>
      <c r="B34" s="205" t="s">
        <v>43</v>
      </c>
      <c r="C34" s="206">
        <f>($A$200+$B$200)*'[35]نرخ تسهیم'!P32</f>
        <v>30882.800641376281</v>
      </c>
      <c r="D34" s="207">
        <f t="shared" si="2"/>
        <v>32426.940673445097</v>
      </c>
      <c r="E34" s="207">
        <f t="shared" si="2"/>
        <v>34048.28770711735</v>
      </c>
      <c r="F34" s="207">
        <f t="shared" si="2"/>
        <v>35750.702092473221</v>
      </c>
      <c r="G34" s="207">
        <f t="shared" si="2"/>
        <v>37538.237197096882</v>
      </c>
      <c r="H34" s="207">
        <f t="shared" si="2"/>
        <v>39415.149056951726</v>
      </c>
      <c r="I34" s="207">
        <f t="shared" si="2"/>
        <v>41385.906509799315</v>
      </c>
      <c r="J34" s="207">
        <f t="shared" si="2"/>
        <v>43455.201835289285</v>
      </c>
      <c r="K34" s="207">
        <f t="shared" si="2"/>
        <v>45627.961927053751</v>
      </c>
      <c r="L34" s="207">
        <f t="shared" si="2"/>
        <v>47909.360023406443</v>
      </c>
      <c r="M34" s="207">
        <f t="shared" si="2"/>
        <v>50304.828024576767</v>
      </c>
      <c r="N34" s="207">
        <f t="shared" si="2"/>
        <v>52820.06942580561</v>
      </c>
      <c r="O34" s="83"/>
      <c r="P34" s="83"/>
      <c r="Q34" s="84"/>
      <c r="R34" s="84"/>
      <c r="S34" s="84"/>
      <c r="T34" s="86"/>
      <c r="U34" s="85"/>
    </row>
    <row r="35" spans="1:21" s="87" customFormat="1" ht="30" customHeight="1">
      <c r="A35" s="290">
        <v>31</v>
      </c>
      <c r="B35" s="205" t="s">
        <v>44</v>
      </c>
      <c r="C35" s="206">
        <f>($A$200+$B$200)*'[35]نرخ تسهیم'!P33</f>
        <v>32270.822141210956</v>
      </c>
      <c r="D35" s="207">
        <f t="shared" si="2"/>
        <v>33884.363248271504</v>
      </c>
      <c r="E35" s="207">
        <f t="shared" si="2"/>
        <v>35578.581410685081</v>
      </c>
      <c r="F35" s="207">
        <f t="shared" si="2"/>
        <v>37357.510481219339</v>
      </c>
      <c r="G35" s="207">
        <f t="shared" si="2"/>
        <v>39225.386005280307</v>
      </c>
      <c r="H35" s="207">
        <f t="shared" si="2"/>
        <v>41186.655305544322</v>
      </c>
      <c r="I35" s="207">
        <f t="shared" si="2"/>
        <v>43245.988070821542</v>
      </c>
      <c r="J35" s="207">
        <f t="shared" si="2"/>
        <v>45408.287474362623</v>
      </c>
      <c r="K35" s="207">
        <f t="shared" si="2"/>
        <v>47678.70184808076</v>
      </c>
      <c r="L35" s="207">
        <f t="shared" si="2"/>
        <v>50062.636940484801</v>
      </c>
      <c r="M35" s="207">
        <f t="shared" si="2"/>
        <v>52565.768787509041</v>
      </c>
      <c r="N35" s="207">
        <f t="shared" si="2"/>
        <v>55194.057226884499</v>
      </c>
      <c r="O35" s="83"/>
      <c r="P35" s="83"/>
      <c r="Q35" s="84"/>
      <c r="R35" s="84"/>
      <c r="S35" s="84"/>
      <c r="T35" s="86"/>
      <c r="U35" s="85"/>
    </row>
    <row r="36" spans="1:21" s="87" customFormat="1" ht="30" customHeight="1">
      <c r="A36" s="290">
        <v>32</v>
      </c>
      <c r="B36" s="205" t="s">
        <v>45</v>
      </c>
      <c r="C36" s="206">
        <f>($A$200+$B$200)*'[35]نرخ تسهیم'!P34</f>
        <v>37527.80753490702</v>
      </c>
      <c r="D36" s="207">
        <f t="shared" si="2"/>
        <v>39404.197911652373</v>
      </c>
      <c r="E36" s="207">
        <f t="shared" si="2"/>
        <v>41374.407807234995</v>
      </c>
      <c r="F36" s="207">
        <f t="shared" si="2"/>
        <v>43443.128197596743</v>
      </c>
      <c r="G36" s="207">
        <f t="shared" si="2"/>
        <v>45615.284607476584</v>
      </c>
      <c r="H36" s="207">
        <f t="shared" si="2"/>
        <v>47896.048837850416</v>
      </c>
      <c r="I36" s="207">
        <f t="shared" si="2"/>
        <v>50290.851279742936</v>
      </c>
      <c r="J36" s="207">
        <f t="shared" si="2"/>
        <v>52805.393843730082</v>
      </c>
      <c r="K36" s="207">
        <f t="shared" si="2"/>
        <v>55445.663535916588</v>
      </c>
      <c r="L36" s="207">
        <f t="shared" si="2"/>
        <v>58217.946712712423</v>
      </c>
      <c r="M36" s="207">
        <f t="shared" si="2"/>
        <v>61128.844048348044</v>
      </c>
      <c r="N36" s="207">
        <f t="shared" si="2"/>
        <v>64185.28625076545</v>
      </c>
      <c r="O36" s="83"/>
      <c r="P36" s="83"/>
      <c r="Q36" s="84"/>
      <c r="R36" s="84"/>
      <c r="S36" s="84"/>
      <c r="T36" s="86"/>
      <c r="U36" s="85"/>
    </row>
    <row r="37" spans="1:21" s="90" customFormat="1" ht="30" customHeight="1">
      <c r="A37" s="464" t="s">
        <v>107</v>
      </c>
      <c r="B37" s="464"/>
      <c r="C37" s="206">
        <f t="shared" ref="C37:N37" si="3">SUM(C5:C36)</f>
        <v>1662516.6666666672</v>
      </c>
      <c r="D37" s="206">
        <f t="shared" si="3"/>
        <v>1745642.5000000009</v>
      </c>
      <c r="E37" s="206">
        <f t="shared" si="3"/>
        <v>1832924.6250000007</v>
      </c>
      <c r="F37" s="206">
        <f t="shared" si="3"/>
        <v>1924570.8562500004</v>
      </c>
      <c r="G37" s="206">
        <f t="shared" si="3"/>
        <v>2020799.3990625008</v>
      </c>
      <c r="H37" s="206">
        <f t="shared" si="3"/>
        <v>2121839.3690156261</v>
      </c>
      <c r="I37" s="206">
        <f t="shared" si="3"/>
        <v>2227931.3374664076</v>
      </c>
      <c r="J37" s="206">
        <f t="shared" si="3"/>
        <v>2339327.9043397275</v>
      </c>
      <c r="K37" s="206">
        <f t="shared" si="3"/>
        <v>2456294.2995567145</v>
      </c>
      <c r="L37" s="206">
        <f t="shared" si="3"/>
        <v>2579109.0145345503</v>
      </c>
      <c r="M37" s="206">
        <f t="shared" si="3"/>
        <v>2708064.4652612782</v>
      </c>
      <c r="N37" s="206">
        <f t="shared" si="3"/>
        <v>2843467.6885243426</v>
      </c>
      <c r="O37" s="83"/>
      <c r="P37" s="83"/>
      <c r="Q37" s="84"/>
      <c r="R37" s="84"/>
      <c r="S37" s="84"/>
      <c r="T37" s="88"/>
      <c r="U37" s="89"/>
    </row>
    <row r="199" spans="1:20" s="91" customFormat="1" ht="35.1" customHeight="1">
      <c r="D199" s="92"/>
      <c r="E199" s="92"/>
      <c r="F199" s="92"/>
      <c r="G199" s="92"/>
      <c r="H199" s="92"/>
      <c r="I199" s="92"/>
      <c r="J199" s="92"/>
      <c r="K199" s="92"/>
      <c r="L199" s="92"/>
      <c r="M199" s="92"/>
      <c r="N199" s="93"/>
      <c r="O199" s="94"/>
      <c r="P199" s="94"/>
      <c r="Q199" s="94"/>
      <c r="R199" s="94"/>
      <c r="T199" s="95"/>
    </row>
    <row r="200" spans="1:20" s="47" customFormat="1" ht="35.1" hidden="1" customHeight="1">
      <c r="A200" s="47">
        <f>'[35]عملیات-فعالیت ها '!$L$9</f>
        <v>1662516.6666666667</v>
      </c>
      <c r="B200" s="47">
        <f>'[35]عملیات-فعالیت ها '!$M$9</f>
        <v>0</v>
      </c>
      <c r="D200" s="48"/>
      <c r="E200" s="48"/>
      <c r="F200" s="48"/>
      <c r="G200" s="48"/>
      <c r="H200" s="48"/>
      <c r="I200" s="48"/>
      <c r="J200" s="48"/>
      <c r="K200" s="48"/>
      <c r="L200" s="48"/>
      <c r="M200" s="48"/>
      <c r="N200" s="49"/>
      <c r="O200" s="50"/>
      <c r="P200" s="50"/>
      <c r="Q200" s="50"/>
      <c r="R200" s="50"/>
      <c r="T200" s="51"/>
    </row>
    <row r="201" spans="1:20" s="91" customFormat="1" ht="35.1" customHeight="1">
      <c r="D201" s="92"/>
      <c r="E201" s="92"/>
      <c r="F201" s="92"/>
      <c r="G201" s="92"/>
      <c r="H201" s="92"/>
      <c r="I201" s="92"/>
      <c r="J201" s="92"/>
      <c r="K201" s="92"/>
      <c r="L201" s="92"/>
      <c r="M201" s="92"/>
      <c r="N201" s="93"/>
      <c r="O201" s="94"/>
      <c r="P201" s="94"/>
      <c r="Q201" s="94"/>
      <c r="R201" s="94"/>
      <c r="T201" s="95"/>
    </row>
  </sheetData>
  <mergeCells count="17">
    <mergeCell ref="A37:B37"/>
    <mergeCell ref="I3:I4"/>
    <mergeCell ref="J3:J4"/>
    <mergeCell ref="K3:K4"/>
    <mergeCell ref="L3:L4"/>
    <mergeCell ref="M3:M4"/>
    <mergeCell ref="N3:N4"/>
    <mergeCell ref="A1:N1"/>
    <mergeCell ref="A2:A4"/>
    <mergeCell ref="B2:B4"/>
    <mergeCell ref="C2:C4"/>
    <mergeCell ref="D2:D4"/>
    <mergeCell ref="E2:I2"/>
    <mergeCell ref="J2:N2"/>
    <mergeCell ref="E3:F3"/>
    <mergeCell ref="G3:G4"/>
    <mergeCell ref="H3:H4"/>
  </mergeCells>
  <pageMargins left="0.7" right="0.7" top="0.75" bottom="0.75" header="0.3" footer="0.3"/>
  <pageSetup paperSize="9" orientation="portrait" r:id="rId1"/>
  <drawing r:id="rId2"/>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286"/>
  <sheetViews>
    <sheetView showGridLines="0" rightToLeft="1" workbookViewId="0">
      <pane xSplit="25" topLeftCell="Z1" activePane="topRight" state="frozen"/>
      <selection pane="topRight" activeCell="L8" sqref="L8"/>
    </sheetView>
  </sheetViews>
  <sheetFormatPr defaultColWidth="28.6640625" defaultRowHeight="5.65" customHeight="1"/>
  <cols>
    <col min="1" max="1" width="9.33203125" style="3" customWidth="1"/>
    <col min="2" max="2" width="55.5" style="3" customWidth="1"/>
    <col min="3" max="3" width="9" style="125" customWidth="1"/>
    <col min="4" max="9" width="6.6640625" style="126" customWidth="1"/>
    <col min="10" max="12" width="12.5" style="3" customWidth="1"/>
    <col min="13" max="13" width="12.33203125" style="2" customWidth="1"/>
    <col min="14" max="23" width="8" style="29" hidden="1" customWidth="1"/>
    <col min="24" max="25" width="10.1640625" style="30" hidden="1" customWidth="1"/>
    <col min="26" max="26" width="10.33203125" style="121" customWidth="1"/>
    <col min="27" max="27" width="28.6640625" style="2"/>
    <col min="28" max="16384" width="28.6640625" style="3"/>
  </cols>
  <sheetData>
    <row r="1" spans="1:27" ht="65.25" customHeight="1">
      <c r="A1" s="465" t="s">
        <v>133</v>
      </c>
      <c r="B1" s="465"/>
      <c r="C1" s="465"/>
      <c r="D1" s="465"/>
      <c r="E1" s="465"/>
      <c r="F1" s="465"/>
      <c r="G1" s="465"/>
      <c r="H1" s="465"/>
      <c r="I1" s="465"/>
      <c r="J1" s="465"/>
      <c r="K1" s="465"/>
      <c r="L1" s="465"/>
      <c r="M1" s="465"/>
    </row>
    <row r="2" spans="1:27" ht="33.75" customHeight="1">
      <c r="A2" s="262">
        <f>$M$10</f>
        <v>0.04</v>
      </c>
      <c r="B2" s="430" t="s">
        <v>134</v>
      </c>
      <c r="C2" s="383" t="s">
        <v>135</v>
      </c>
      <c r="D2" s="384" t="s">
        <v>136</v>
      </c>
      <c r="E2" s="384"/>
      <c r="F2" s="384"/>
      <c r="G2" s="384"/>
      <c r="H2" s="384" t="s">
        <v>137</v>
      </c>
      <c r="I2" s="384" t="s">
        <v>138</v>
      </c>
      <c r="J2" s="385" t="s">
        <v>139</v>
      </c>
      <c r="K2" s="385" t="s">
        <v>140</v>
      </c>
      <c r="L2" s="385" t="s">
        <v>141</v>
      </c>
      <c r="M2" s="386" t="s">
        <v>142</v>
      </c>
    </row>
    <row r="3" spans="1:27" ht="31.5" customHeight="1">
      <c r="A3" s="263" t="s">
        <v>0</v>
      </c>
      <c r="B3" s="430"/>
      <c r="C3" s="383"/>
      <c r="D3" s="208" t="s">
        <v>143</v>
      </c>
      <c r="E3" s="208" t="s">
        <v>144</v>
      </c>
      <c r="F3" s="208" t="s">
        <v>145</v>
      </c>
      <c r="G3" s="208" t="s">
        <v>146</v>
      </c>
      <c r="H3" s="384"/>
      <c r="I3" s="384"/>
      <c r="J3" s="385"/>
      <c r="K3" s="385"/>
      <c r="L3" s="385"/>
      <c r="M3" s="386"/>
      <c r="N3" s="29" t="s">
        <v>147</v>
      </c>
      <c r="O3" s="29" t="s">
        <v>148</v>
      </c>
      <c r="P3" s="29" t="s">
        <v>149</v>
      </c>
      <c r="Q3" s="29" t="s">
        <v>150</v>
      </c>
      <c r="R3" s="29" t="s">
        <v>147</v>
      </c>
      <c r="S3" s="29" t="s">
        <v>148</v>
      </c>
      <c r="T3" s="29" t="s">
        <v>149</v>
      </c>
      <c r="U3" s="29" t="s">
        <v>150</v>
      </c>
      <c r="V3" s="29" t="s">
        <v>151</v>
      </c>
      <c r="W3" s="29" t="s">
        <v>152</v>
      </c>
      <c r="X3" s="30" t="s">
        <v>153</v>
      </c>
      <c r="Y3" s="30" t="s">
        <v>154</v>
      </c>
    </row>
    <row r="4" spans="1:27" ht="54.95" customHeight="1">
      <c r="A4" s="209">
        <v>1</v>
      </c>
      <c r="B4" s="280" t="s">
        <v>1395</v>
      </c>
      <c r="C4" s="211">
        <v>0.04</v>
      </c>
      <c r="D4" s="212">
        <v>0</v>
      </c>
      <c r="E4" s="212">
        <v>1</v>
      </c>
      <c r="F4" s="212">
        <v>1</v>
      </c>
      <c r="G4" s="212">
        <v>1</v>
      </c>
      <c r="H4" s="212">
        <v>4</v>
      </c>
      <c r="I4" s="212">
        <v>4</v>
      </c>
      <c r="J4" s="213">
        <v>0</v>
      </c>
      <c r="K4" s="213">
        <v>0</v>
      </c>
      <c r="L4" s="213">
        <f t="shared" ref="L4:L8" si="0">(((J4*C4)/$A$2)*D4)+(((J4*C4)/$A$2)*E4)+(((J4*C4)/$A$2)*F4)+(((J4*C4)/$A$2)*G4)</f>
        <v>0</v>
      </c>
      <c r="M4" s="214">
        <f t="shared" ref="M4:M8" si="1">(((K4*C4)/$A$2)*D4)+(((K4*C4)/$A$2)*E4)+(((K4*C4)/$A$2)*F4)+(((K4*C4)/$A$2)*G4)</f>
        <v>0</v>
      </c>
      <c r="N4" s="122">
        <f t="shared" ref="N4:N8" si="2">J4*D4*C4/$A$2</f>
        <v>0</v>
      </c>
      <c r="O4" s="122">
        <f t="shared" ref="O4:O8" si="3">J4*E4*C4/$A$2</f>
        <v>0</v>
      </c>
      <c r="P4" s="122">
        <f>J4*F4*C4/$A$2</f>
        <v>0</v>
      </c>
      <c r="Q4" s="122">
        <f t="shared" ref="Q4:Q8" si="4">J4*G4*C4/$A$2</f>
        <v>0</v>
      </c>
      <c r="R4" s="122">
        <f t="shared" ref="R4:R8" si="5">K4*D4*C4/$A$2</f>
        <v>0</v>
      </c>
      <c r="S4" s="122">
        <f t="shared" ref="S4:S8" si="6">K4*E4*C4/$A$2</f>
        <v>0</v>
      </c>
      <c r="T4" s="122">
        <f t="shared" ref="T4:T8" si="7">K4*F4*C4/$A$2</f>
        <v>0</v>
      </c>
      <c r="U4" s="122">
        <f t="shared" ref="U4:U8" si="8">K4*G4*C4/$A$2</f>
        <v>0</v>
      </c>
      <c r="V4" s="122">
        <f t="shared" ref="V4:V8" si="9">((L4/15)*((I4+H4)-2))</f>
        <v>0</v>
      </c>
      <c r="W4" s="122">
        <f t="shared" ref="W4:W8" si="10">((M4/15)*((I4+H4)-2))</f>
        <v>0</v>
      </c>
      <c r="X4" s="30">
        <f>L4*(V4/(V4-0.0000001))</f>
        <v>0</v>
      </c>
      <c r="Y4" s="30">
        <f>M4*(W4/(W4-0.0000001))</f>
        <v>0</v>
      </c>
      <c r="Z4" s="2"/>
      <c r="AA4" s="3"/>
    </row>
    <row r="5" spans="1:27" ht="54.95" customHeight="1">
      <c r="A5" s="209">
        <v>2</v>
      </c>
      <c r="B5" s="280" t="s">
        <v>1396</v>
      </c>
      <c r="C5" s="211">
        <v>0.2</v>
      </c>
      <c r="D5" s="212">
        <v>0</v>
      </c>
      <c r="E5" s="212">
        <v>1</v>
      </c>
      <c r="F5" s="212">
        <v>1</v>
      </c>
      <c r="G5" s="212">
        <v>1</v>
      </c>
      <c r="H5" s="212">
        <v>4</v>
      </c>
      <c r="I5" s="212">
        <v>3</v>
      </c>
      <c r="J5" s="213">
        <v>0</v>
      </c>
      <c r="K5" s="213">
        <v>0</v>
      </c>
      <c r="L5" s="213">
        <f t="shared" si="0"/>
        <v>0</v>
      </c>
      <c r="M5" s="214">
        <f t="shared" si="1"/>
        <v>0</v>
      </c>
      <c r="N5" s="122">
        <f t="shared" si="2"/>
        <v>0</v>
      </c>
      <c r="O5" s="122">
        <f t="shared" si="3"/>
        <v>0</v>
      </c>
      <c r="P5" s="122">
        <f t="shared" ref="P5:P8" si="11">J5*F5*C5/$A$2</f>
        <v>0</v>
      </c>
      <c r="Q5" s="122">
        <f t="shared" si="4"/>
        <v>0</v>
      </c>
      <c r="R5" s="122">
        <f t="shared" si="5"/>
        <v>0</v>
      </c>
      <c r="S5" s="122">
        <f t="shared" si="6"/>
        <v>0</v>
      </c>
      <c r="T5" s="122">
        <f t="shared" si="7"/>
        <v>0</v>
      </c>
      <c r="U5" s="122">
        <f t="shared" si="8"/>
        <v>0</v>
      </c>
      <c r="V5" s="122">
        <f t="shared" si="9"/>
        <v>0</v>
      </c>
      <c r="W5" s="122">
        <f t="shared" si="10"/>
        <v>0</v>
      </c>
      <c r="X5" s="30">
        <f t="shared" ref="X5:Y8" si="12">L5*(V5/(V5-0.0000001))</f>
        <v>0</v>
      </c>
      <c r="Y5" s="30">
        <f t="shared" si="12"/>
        <v>0</v>
      </c>
      <c r="Z5" s="2"/>
      <c r="AA5" s="3"/>
    </row>
    <row r="6" spans="1:27" ht="54.95" customHeight="1">
      <c r="A6" s="209">
        <v>3</v>
      </c>
      <c r="B6" s="280" t="s">
        <v>155</v>
      </c>
      <c r="C6" s="211">
        <v>8</v>
      </c>
      <c r="D6" s="212">
        <v>0</v>
      </c>
      <c r="E6" s="212">
        <v>1</v>
      </c>
      <c r="F6" s="212">
        <v>0</v>
      </c>
      <c r="G6" s="212">
        <v>0</v>
      </c>
      <c r="H6" s="212">
        <v>1</v>
      </c>
      <c r="I6" s="212">
        <v>1</v>
      </c>
      <c r="J6" s="213">
        <v>0</v>
      </c>
      <c r="K6" s="213">
        <v>0</v>
      </c>
      <c r="L6" s="213">
        <f t="shared" si="0"/>
        <v>0</v>
      </c>
      <c r="M6" s="214">
        <f t="shared" si="1"/>
        <v>0</v>
      </c>
      <c r="N6" s="122">
        <f t="shared" si="2"/>
        <v>0</v>
      </c>
      <c r="O6" s="122">
        <f t="shared" si="3"/>
        <v>0</v>
      </c>
      <c r="P6" s="122">
        <f t="shared" si="11"/>
        <v>0</v>
      </c>
      <c r="Q6" s="122">
        <f t="shared" si="4"/>
        <v>0</v>
      </c>
      <c r="R6" s="122">
        <f t="shared" si="5"/>
        <v>0</v>
      </c>
      <c r="S6" s="122">
        <f t="shared" si="6"/>
        <v>0</v>
      </c>
      <c r="T6" s="122">
        <f t="shared" si="7"/>
        <v>0</v>
      </c>
      <c r="U6" s="122">
        <f t="shared" si="8"/>
        <v>0</v>
      </c>
      <c r="V6" s="122">
        <f t="shared" si="9"/>
        <v>0</v>
      </c>
      <c r="W6" s="122">
        <f t="shared" si="10"/>
        <v>0</v>
      </c>
      <c r="X6" s="30">
        <f t="shared" si="12"/>
        <v>0</v>
      </c>
      <c r="Y6" s="30">
        <f t="shared" si="12"/>
        <v>0</v>
      </c>
      <c r="Z6" s="2"/>
      <c r="AA6" s="3"/>
    </row>
    <row r="7" spans="1:27" ht="54.95" customHeight="1">
      <c r="A7" s="209">
        <v>4</v>
      </c>
      <c r="B7" s="280" t="s">
        <v>156</v>
      </c>
      <c r="C7" s="211">
        <v>12</v>
      </c>
      <c r="D7" s="212">
        <v>0</v>
      </c>
      <c r="E7" s="212">
        <v>1</v>
      </c>
      <c r="F7" s="212">
        <v>0</v>
      </c>
      <c r="G7" s="212">
        <v>0</v>
      </c>
      <c r="H7" s="212">
        <v>1</v>
      </c>
      <c r="I7" s="212">
        <v>1</v>
      </c>
      <c r="J7" s="213">
        <v>0</v>
      </c>
      <c r="K7" s="213">
        <v>0</v>
      </c>
      <c r="L7" s="213">
        <f t="shared" si="0"/>
        <v>0</v>
      </c>
      <c r="M7" s="214">
        <f t="shared" si="1"/>
        <v>0</v>
      </c>
      <c r="N7" s="122">
        <f t="shared" si="2"/>
        <v>0</v>
      </c>
      <c r="O7" s="122">
        <f t="shared" si="3"/>
        <v>0</v>
      </c>
      <c r="P7" s="122">
        <f t="shared" si="11"/>
        <v>0</v>
      </c>
      <c r="Q7" s="122">
        <f t="shared" si="4"/>
        <v>0</v>
      </c>
      <c r="R7" s="122">
        <f t="shared" si="5"/>
        <v>0</v>
      </c>
      <c r="S7" s="122">
        <f t="shared" si="6"/>
        <v>0</v>
      </c>
      <c r="T7" s="122">
        <f t="shared" si="7"/>
        <v>0</v>
      </c>
      <c r="U7" s="122">
        <f t="shared" si="8"/>
        <v>0</v>
      </c>
      <c r="V7" s="122">
        <f t="shared" si="9"/>
        <v>0</v>
      </c>
      <c r="W7" s="122">
        <f t="shared" si="10"/>
        <v>0</v>
      </c>
      <c r="X7" s="30">
        <f t="shared" si="12"/>
        <v>0</v>
      </c>
      <c r="Y7" s="30">
        <f t="shared" si="12"/>
        <v>0</v>
      </c>
      <c r="Z7" s="2"/>
      <c r="AA7" s="3"/>
    </row>
    <row r="8" spans="1:27" ht="54.95" customHeight="1">
      <c r="A8" s="209">
        <v>5</v>
      </c>
      <c r="B8" s="280" t="s">
        <v>157</v>
      </c>
      <c r="C8" s="211">
        <v>0.4</v>
      </c>
      <c r="D8" s="212">
        <v>0</v>
      </c>
      <c r="E8" s="212">
        <v>0</v>
      </c>
      <c r="F8" s="212">
        <v>0</v>
      </c>
      <c r="G8" s="212">
        <v>1</v>
      </c>
      <c r="H8" s="212">
        <v>1</v>
      </c>
      <c r="I8" s="212">
        <v>1</v>
      </c>
      <c r="J8" s="213">
        <v>0</v>
      </c>
      <c r="K8" s="213">
        <v>0</v>
      </c>
      <c r="L8" s="213">
        <f t="shared" si="0"/>
        <v>0</v>
      </c>
      <c r="M8" s="214">
        <f t="shared" si="1"/>
        <v>0</v>
      </c>
      <c r="N8" s="122">
        <f t="shared" si="2"/>
        <v>0</v>
      </c>
      <c r="O8" s="122">
        <f t="shared" si="3"/>
        <v>0</v>
      </c>
      <c r="P8" s="122">
        <f t="shared" si="11"/>
        <v>0</v>
      </c>
      <c r="Q8" s="122">
        <f t="shared" si="4"/>
        <v>0</v>
      </c>
      <c r="R8" s="122">
        <f t="shared" si="5"/>
        <v>0</v>
      </c>
      <c r="S8" s="122">
        <f t="shared" si="6"/>
        <v>0</v>
      </c>
      <c r="T8" s="122">
        <f t="shared" si="7"/>
        <v>0</v>
      </c>
      <c r="U8" s="122">
        <f t="shared" si="8"/>
        <v>0</v>
      </c>
      <c r="V8" s="122">
        <f t="shared" si="9"/>
        <v>0</v>
      </c>
      <c r="W8" s="122">
        <f t="shared" si="10"/>
        <v>0</v>
      </c>
      <c r="X8" s="30">
        <f t="shared" si="12"/>
        <v>0</v>
      </c>
      <c r="Y8" s="30">
        <f t="shared" si="12"/>
        <v>0</v>
      </c>
      <c r="Z8" s="2"/>
      <c r="AA8" s="3"/>
    </row>
    <row r="9" spans="1:27" s="2" customFormat="1" ht="54.95" customHeight="1">
      <c r="A9" s="377" t="s">
        <v>158</v>
      </c>
      <c r="B9" s="377"/>
      <c r="C9" s="378" t="s">
        <v>159</v>
      </c>
      <c r="D9" s="378"/>
      <c r="E9" s="378"/>
      <c r="F9" s="378"/>
      <c r="G9" s="378"/>
      <c r="H9" s="378"/>
      <c r="I9" s="378"/>
      <c r="J9" s="378"/>
      <c r="K9" s="378"/>
      <c r="L9" s="215">
        <f>SUM(L4:L8)</f>
        <v>0</v>
      </c>
      <c r="M9" s="215">
        <f>SUM(M4:M8)</f>
        <v>0</v>
      </c>
      <c r="N9" s="123">
        <f>SUM(N4:N8)</f>
        <v>0</v>
      </c>
      <c r="O9" s="123">
        <f t="shared" ref="O9:Y9" si="13">SUM(O4:O8)</f>
        <v>0</v>
      </c>
      <c r="P9" s="123">
        <f t="shared" si="13"/>
        <v>0</v>
      </c>
      <c r="Q9" s="123">
        <f t="shared" si="13"/>
        <v>0</v>
      </c>
      <c r="R9" s="123">
        <f t="shared" si="13"/>
        <v>0</v>
      </c>
      <c r="S9" s="123">
        <f t="shared" si="13"/>
        <v>0</v>
      </c>
      <c r="T9" s="123">
        <f t="shared" si="13"/>
        <v>0</v>
      </c>
      <c r="U9" s="123">
        <f t="shared" si="13"/>
        <v>0</v>
      </c>
      <c r="V9" s="123">
        <f t="shared" si="13"/>
        <v>0</v>
      </c>
      <c r="W9" s="123">
        <f t="shared" si="13"/>
        <v>0</v>
      </c>
      <c r="X9" s="123">
        <f t="shared" si="13"/>
        <v>0</v>
      </c>
      <c r="Y9" s="123">
        <f t="shared" si="13"/>
        <v>0</v>
      </c>
    </row>
    <row r="10" spans="1:27" s="2" customFormat="1" ht="54.95" customHeight="1">
      <c r="A10" s="379" t="s">
        <v>160</v>
      </c>
      <c r="B10" s="379"/>
      <c r="C10" s="379"/>
      <c r="D10" s="379"/>
      <c r="E10" s="379"/>
      <c r="F10" s="379"/>
      <c r="G10" s="379"/>
      <c r="H10" s="379"/>
      <c r="I10" s="379"/>
      <c r="J10" s="379"/>
      <c r="K10" s="379"/>
      <c r="L10" s="379"/>
      <c r="M10" s="273">
        <v>0.04</v>
      </c>
      <c r="N10" s="29"/>
      <c r="O10" s="29"/>
      <c r="P10" s="29"/>
      <c r="Q10" s="29"/>
      <c r="R10" s="29"/>
      <c r="S10" s="29"/>
      <c r="T10" s="29"/>
      <c r="U10" s="29"/>
      <c r="V10" s="29"/>
      <c r="W10" s="29"/>
      <c r="X10" s="30"/>
      <c r="Y10" s="30"/>
      <c r="Z10" s="124"/>
    </row>
    <row r="11" spans="1:27" s="2" customFormat="1" ht="54.95" customHeight="1">
      <c r="A11" s="3"/>
      <c r="B11" s="3"/>
      <c r="C11" s="125"/>
      <c r="D11" s="126"/>
      <c r="E11" s="126"/>
      <c r="F11" s="126"/>
      <c r="G11" s="126"/>
      <c r="H11" s="126"/>
      <c r="I11" s="126"/>
      <c r="J11" s="3"/>
      <c r="K11" s="3"/>
      <c r="L11" s="3"/>
      <c r="N11" s="29"/>
      <c r="O11" s="29"/>
      <c r="P11" s="29"/>
      <c r="Q11" s="29"/>
      <c r="R11" s="29"/>
      <c r="S11" s="29"/>
      <c r="T11" s="29"/>
      <c r="U11" s="29"/>
      <c r="V11" s="29"/>
      <c r="W11" s="29"/>
      <c r="X11" s="30"/>
      <c r="Y11" s="30"/>
      <c r="Z11" s="121"/>
    </row>
    <row r="12" spans="1:27" s="2" customFormat="1" ht="54.95" customHeight="1">
      <c r="A12" s="3"/>
      <c r="B12" s="3"/>
      <c r="C12" s="125"/>
      <c r="D12" s="126"/>
      <c r="E12" s="126"/>
      <c r="F12" s="126"/>
      <c r="G12" s="126"/>
      <c r="H12" s="126"/>
      <c r="I12" s="126"/>
      <c r="J12" s="3"/>
      <c r="K12" s="3"/>
      <c r="L12" s="3"/>
      <c r="N12" s="29"/>
      <c r="O12" s="29"/>
      <c r="P12" s="29"/>
      <c r="Q12" s="29"/>
      <c r="R12" s="29"/>
      <c r="S12" s="29"/>
      <c r="T12" s="29"/>
      <c r="U12" s="29"/>
      <c r="V12" s="29"/>
      <c r="W12" s="29"/>
      <c r="X12" s="30"/>
      <c r="Y12" s="30"/>
      <c r="Z12" s="121"/>
    </row>
    <row r="13" spans="1:27" s="2" customFormat="1" ht="54.95" customHeight="1">
      <c r="A13" s="3"/>
      <c r="B13" s="3"/>
      <c r="C13" s="125"/>
      <c r="D13" s="126"/>
      <c r="E13" s="126"/>
      <c r="F13" s="126"/>
      <c r="G13" s="126"/>
      <c r="H13" s="126"/>
      <c r="I13" s="126"/>
      <c r="J13" s="3"/>
      <c r="K13" s="3"/>
      <c r="L13" s="3"/>
      <c r="N13" s="29"/>
      <c r="O13" s="29"/>
      <c r="P13" s="29"/>
      <c r="Q13" s="29"/>
      <c r="R13" s="29"/>
      <c r="S13" s="29"/>
      <c r="T13" s="29"/>
      <c r="U13" s="29"/>
      <c r="V13" s="29"/>
      <c r="W13" s="29"/>
      <c r="X13" s="30"/>
      <c r="Y13" s="30"/>
      <c r="Z13" s="121"/>
    </row>
    <row r="14" spans="1:27" s="2" customFormat="1" ht="54.95" customHeight="1">
      <c r="A14" s="3"/>
      <c r="B14" s="3"/>
      <c r="C14" s="125"/>
      <c r="D14" s="126"/>
      <c r="E14" s="126"/>
      <c r="F14" s="126"/>
      <c r="G14" s="126"/>
      <c r="H14" s="126"/>
      <c r="I14" s="126"/>
      <c r="J14" s="3"/>
      <c r="K14" s="3"/>
      <c r="L14" s="3"/>
      <c r="N14" s="29"/>
      <c r="O14" s="29"/>
      <c r="P14" s="29"/>
      <c r="Q14" s="29"/>
      <c r="R14" s="29"/>
      <c r="S14" s="29"/>
      <c r="T14" s="29"/>
      <c r="U14" s="29"/>
      <c r="V14" s="29"/>
      <c r="W14" s="29"/>
      <c r="X14" s="30"/>
      <c r="Y14" s="30"/>
      <c r="Z14" s="121"/>
    </row>
    <row r="15" spans="1:27" s="2" customFormat="1" ht="54.95" customHeight="1">
      <c r="A15" s="3"/>
      <c r="B15" s="3"/>
      <c r="C15" s="125"/>
      <c r="D15" s="126"/>
      <c r="E15" s="126"/>
      <c r="F15" s="126"/>
      <c r="G15" s="126"/>
      <c r="H15" s="126"/>
      <c r="I15" s="126"/>
      <c r="J15" s="3"/>
      <c r="K15" s="3"/>
      <c r="L15" s="3"/>
      <c r="N15" s="29"/>
      <c r="O15" s="29"/>
      <c r="P15" s="29"/>
      <c r="Q15" s="29"/>
      <c r="R15" s="29"/>
      <c r="S15" s="29"/>
      <c r="T15" s="29"/>
      <c r="U15" s="29"/>
      <c r="V15" s="29"/>
      <c r="W15" s="29"/>
      <c r="X15" s="30"/>
      <c r="Y15" s="30"/>
      <c r="Z15" s="121"/>
    </row>
    <row r="16" spans="1:27" s="2" customFormat="1" ht="54.95" customHeight="1">
      <c r="A16" s="3"/>
      <c r="B16" s="3"/>
      <c r="C16" s="125"/>
      <c r="D16" s="126"/>
      <c r="E16" s="126"/>
      <c r="F16" s="126"/>
      <c r="G16" s="126"/>
      <c r="H16" s="126"/>
      <c r="I16" s="126"/>
      <c r="J16" s="3"/>
      <c r="K16" s="3"/>
      <c r="L16" s="3"/>
      <c r="N16" s="29"/>
      <c r="O16" s="29"/>
      <c r="P16" s="29"/>
      <c r="Q16" s="29"/>
      <c r="R16" s="29"/>
      <c r="S16" s="29"/>
      <c r="T16" s="29"/>
      <c r="U16" s="29"/>
      <c r="V16" s="29"/>
      <c r="W16" s="29"/>
      <c r="X16" s="30"/>
      <c r="Y16" s="30"/>
      <c r="Z16" s="121"/>
    </row>
    <row r="17" spans="1:26" s="2" customFormat="1" ht="54.95" customHeight="1">
      <c r="A17" s="3"/>
      <c r="B17" s="3"/>
      <c r="C17" s="125"/>
      <c r="D17" s="126"/>
      <c r="E17" s="126"/>
      <c r="F17" s="126"/>
      <c r="G17" s="126"/>
      <c r="H17" s="126"/>
      <c r="I17" s="126"/>
      <c r="J17" s="3"/>
      <c r="K17" s="3"/>
      <c r="L17" s="3"/>
      <c r="N17" s="29"/>
      <c r="O17" s="29"/>
      <c r="P17" s="29"/>
      <c r="Q17" s="29"/>
      <c r="R17" s="29"/>
      <c r="S17" s="29"/>
      <c r="T17" s="29"/>
      <c r="U17" s="29"/>
      <c r="V17" s="29"/>
      <c r="W17" s="29"/>
      <c r="X17" s="30"/>
      <c r="Y17" s="30"/>
      <c r="Z17" s="121"/>
    </row>
    <row r="18" spans="1:26" s="2" customFormat="1" ht="54.95" customHeight="1">
      <c r="A18" s="3"/>
      <c r="B18" s="3"/>
      <c r="C18" s="125"/>
      <c r="D18" s="126"/>
      <c r="E18" s="126"/>
      <c r="F18" s="126"/>
      <c r="G18" s="126"/>
      <c r="H18" s="126"/>
      <c r="I18" s="126"/>
      <c r="J18" s="3"/>
      <c r="K18" s="3"/>
      <c r="L18" s="3"/>
      <c r="N18" s="29"/>
      <c r="O18" s="29"/>
      <c r="P18" s="29"/>
      <c r="Q18" s="29"/>
      <c r="R18" s="29"/>
      <c r="S18" s="29"/>
      <c r="T18" s="29"/>
      <c r="U18" s="29"/>
      <c r="V18" s="29"/>
      <c r="W18" s="29"/>
      <c r="X18" s="30"/>
      <c r="Y18" s="30"/>
      <c r="Z18" s="121"/>
    </row>
    <row r="19" spans="1:26" s="2" customFormat="1" ht="54.95" customHeight="1">
      <c r="A19" s="3"/>
      <c r="B19" s="3"/>
      <c r="C19" s="125"/>
      <c r="D19" s="126"/>
      <c r="E19" s="126"/>
      <c r="F19" s="126"/>
      <c r="G19" s="126"/>
      <c r="H19" s="126"/>
      <c r="I19" s="126"/>
      <c r="J19" s="3"/>
      <c r="K19" s="3"/>
      <c r="L19" s="3"/>
      <c r="N19" s="29"/>
      <c r="O19" s="29"/>
      <c r="P19" s="29"/>
      <c r="Q19" s="29"/>
      <c r="R19" s="29"/>
      <c r="S19" s="29"/>
      <c r="T19" s="29"/>
      <c r="U19" s="29"/>
      <c r="V19" s="29"/>
      <c r="W19" s="29"/>
      <c r="X19" s="30"/>
      <c r="Y19" s="30"/>
      <c r="Z19" s="121"/>
    </row>
    <row r="20" spans="1:26" s="2" customFormat="1" ht="54.95" customHeight="1">
      <c r="A20" s="3"/>
      <c r="B20" s="3"/>
      <c r="C20" s="125"/>
      <c r="D20" s="126"/>
      <c r="E20" s="126"/>
      <c r="F20" s="126"/>
      <c r="G20" s="126"/>
      <c r="H20" s="126"/>
      <c r="I20" s="126"/>
      <c r="J20" s="3"/>
      <c r="K20" s="3"/>
      <c r="L20" s="3"/>
      <c r="N20" s="29"/>
      <c r="O20" s="29"/>
      <c r="P20" s="29"/>
      <c r="Q20" s="29"/>
      <c r="R20" s="29"/>
      <c r="S20" s="29"/>
      <c r="T20" s="29"/>
      <c r="U20" s="29"/>
      <c r="V20" s="29"/>
      <c r="W20" s="29"/>
      <c r="X20" s="30"/>
      <c r="Y20" s="30"/>
      <c r="Z20" s="121"/>
    </row>
    <row r="21" spans="1:26" s="2" customFormat="1" ht="54.95" customHeight="1">
      <c r="A21" s="3"/>
      <c r="B21" s="3"/>
      <c r="C21" s="125"/>
      <c r="D21" s="126"/>
      <c r="E21" s="126"/>
      <c r="F21" s="126"/>
      <c r="G21" s="126"/>
      <c r="H21" s="126"/>
      <c r="I21" s="126"/>
      <c r="J21" s="3"/>
      <c r="K21" s="3"/>
      <c r="L21" s="3"/>
      <c r="N21" s="29"/>
      <c r="O21" s="29"/>
      <c r="P21" s="29"/>
      <c r="Q21" s="29"/>
      <c r="R21" s="29"/>
      <c r="S21" s="29"/>
      <c r="T21" s="29"/>
      <c r="U21" s="29"/>
      <c r="V21" s="29"/>
      <c r="W21" s="29"/>
      <c r="X21" s="30"/>
      <c r="Y21" s="30"/>
      <c r="Z21" s="121"/>
    </row>
    <row r="22" spans="1:26" s="2" customFormat="1" ht="54.95" customHeight="1">
      <c r="A22" s="3"/>
      <c r="B22" s="3"/>
      <c r="C22" s="125"/>
      <c r="D22" s="126"/>
      <c r="E22" s="126"/>
      <c r="F22" s="126"/>
      <c r="G22" s="126"/>
      <c r="H22" s="126"/>
      <c r="I22" s="126"/>
      <c r="J22" s="3"/>
      <c r="K22" s="3"/>
      <c r="L22" s="3"/>
      <c r="N22" s="29"/>
      <c r="O22" s="29"/>
      <c r="P22" s="29"/>
      <c r="Q22" s="29"/>
      <c r="R22" s="29"/>
      <c r="S22" s="29"/>
      <c r="T22" s="29"/>
      <c r="U22" s="29"/>
      <c r="V22" s="29"/>
      <c r="W22" s="29"/>
      <c r="X22" s="30"/>
      <c r="Y22" s="30"/>
      <c r="Z22" s="121"/>
    </row>
    <row r="23" spans="1:26" s="2" customFormat="1" ht="54.95" customHeight="1">
      <c r="A23" s="3"/>
      <c r="B23" s="3"/>
      <c r="C23" s="125"/>
      <c r="D23" s="126"/>
      <c r="E23" s="126"/>
      <c r="F23" s="126"/>
      <c r="G23" s="126"/>
      <c r="H23" s="126"/>
      <c r="I23" s="126"/>
      <c r="J23" s="3"/>
      <c r="K23" s="3"/>
      <c r="L23" s="3"/>
      <c r="N23" s="29"/>
      <c r="O23" s="29"/>
      <c r="P23" s="29"/>
      <c r="Q23" s="29"/>
      <c r="R23" s="29"/>
      <c r="S23" s="29"/>
      <c r="T23" s="29"/>
      <c r="U23" s="29"/>
      <c r="V23" s="29"/>
      <c r="W23" s="29"/>
      <c r="X23" s="30"/>
      <c r="Y23" s="30"/>
      <c r="Z23" s="121"/>
    </row>
    <row r="24" spans="1:26" s="2" customFormat="1" ht="54.95" customHeight="1">
      <c r="A24" s="3"/>
      <c r="B24" s="3"/>
      <c r="C24" s="125"/>
      <c r="D24" s="126"/>
      <c r="E24" s="126"/>
      <c r="F24" s="126"/>
      <c r="G24" s="126"/>
      <c r="H24" s="126"/>
      <c r="I24" s="126"/>
      <c r="J24" s="3"/>
      <c r="K24" s="3"/>
      <c r="L24" s="3"/>
      <c r="N24" s="29"/>
      <c r="O24" s="29"/>
      <c r="P24" s="29"/>
      <c r="Q24" s="29"/>
      <c r="R24" s="29"/>
      <c r="S24" s="29"/>
      <c r="T24" s="29"/>
      <c r="U24" s="29"/>
      <c r="V24" s="29"/>
      <c r="W24" s="29"/>
      <c r="X24" s="30"/>
      <c r="Y24" s="30"/>
      <c r="Z24" s="121"/>
    </row>
    <row r="25" spans="1:26" s="2" customFormat="1" ht="54.95" customHeight="1">
      <c r="A25" s="3"/>
      <c r="B25" s="3"/>
      <c r="C25" s="125"/>
      <c r="D25" s="126"/>
      <c r="E25" s="126"/>
      <c r="F25" s="126"/>
      <c r="G25" s="126"/>
      <c r="H25" s="126"/>
      <c r="I25" s="126"/>
      <c r="J25" s="3"/>
      <c r="K25" s="3"/>
      <c r="L25" s="3"/>
      <c r="N25" s="29"/>
      <c r="O25" s="29"/>
      <c r="P25" s="29"/>
      <c r="Q25" s="29"/>
      <c r="R25" s="29"/>
      <c r="S25" s="29"/>
      <c r="T25" s="29"/>
      <c r="U25" s="29"/>
      <c r="V25" s="29"/>
      <c r="W25" s="29"/>
      <c r="X25" s="30"/>
      <c r="Y25" s="30"/>
      <c r="Z25" s="121"/>
    </row>
    <row r="26" spans="1:26" s="2" customFormat="1" ht="54.95" customHeight="1">
      <c r="A26" s="3"/>
      <c r="B26" s="3"/>
      <c r="C26" s="125"/>
      <c r="D26" s="126"/>
      <c r="E26" s="126"/>
      <c r="F26" s="126"/>
      <c r="G26" s="126"/>
      <c r="H26" s="126"/>
      <c r="I26" s="126"/>
      <c r="J26" s="3"/>
      <c r="K26" s="3"/>
      <c r="L26" s="3"/>
      <c r="N26" s="29"/>
      <c r="O26" s="29"/>
      <c r="P26" s="29"/>
      <c r="Q26" s="29"/>
      <c r="R26" s="29"/>
      <c r="S26" s="29"/>
      <c r="T26" s="29"/>
      <c r="U26" s="29"/>
      <c r="V26" s="29"/>
      <c r="W26" s="29"/>
      <c r="X26" s="30"/>
      <c r="Y26" s="30"/>
      <c r="Z26" s="121"/>
    </row>
    <row r="27" spans="1:26" s="2" customFormat="1" ht="54.95" customHeight="1">
      <c r="A27" s="3"/>
      <c r="B27" s="3"/>
      <c r="C27" s="125"/>
      <c r="D27" s="126"/>
      <c r="E27" s="126"/>
      <c r="F27" s="126"/>
      <c r="G27" s="126"/>
      <c r="H27" s="126"/>
      <c r="I27" s="126"/>
      <c r="J27" s="3"/>
      <c r="K27" s="3"/>
      <c r="L27" s="3"/>
      <c r="N27" s="29"/>
      <c r="O27" s="29"/>
      <c r="P27" s="29"/>
      <c r="Q27" s="29"/>
      <c r="R27" s="29"/>
      <c r="S27" s="29"/>
      <c r="T27" s="29"/>
      <c r="U27" s="29"/>
      <c r="V27" s="29"/>
      <c r="W27" s="29"/>
      <c r="X27" s="30"/>
      <c r="Y27" s="30"/>
      <c r="Z27" s="121"/>
    </row>
    <row r="28" spans="1:26" s="2" customFormat="1" ht="54.95" customHeight="1">
      <c r="A28" s="3"/>
      <c r="B28" s="3"/>
      <c r="C28" s="125"/>
      <c r="D28" s="126"/>
      <c r="E28" s="126"/>
      <c r="F28" s="126"/>
      <c r="G28" s="126"/>
      <c r="H28" s="126"/>
      <c r="I28" s="126"/>
      <c r="J28" s="3"/>
      <c r="K28" s="3"/>
      <c r="L28" s="3"/>
      <c r="N28" s="29"/>
      <c r="O28" s="29"/>
      <c r="P28" s="29"/>
      <c r="Q28" s="29"/>
      <c r="R28" s="29"/>
      <c r="S28" s="29"/>
      <c r="T28" s="29"/>
      <c r="U28" s="29"/>
      <c r="V28" s="29"/>
      <c r="W28" s="29"/>
      <c r="X28" s="30"/>
      <c r="Y28" s="30"/>
      <c r="Z28" s="121"/>
    </row>
    <row r="29" spans="1:26" s="2" customFormat="1" ht="54.95" customHeight="1">
      <c r="A29" s="3"/>
      <c r="B29" s="3"/>
      <c r="C29" s="125"/>
      <c r="D29" s="126"/>
      <c r="E29" s="126"/>
      <c r="F29" s="126"/>
      <c r="G29" s="126"/>
      <c r="H29" s="126"/>
      <c r="I29" s="126"/>
      <c r="J29" s="3"/>
      <c r="K29" s="3"/>
      <c r="L29" s="3"/>
      <c r="N29" s="29"/>
      <c r="O29" s="29"/>
      <c r="P29" s="29"/>
      <c r="Q29" s="29"/>
      <c r="R29" s="29"/>
      <c r="S29" s="29"/>
      <c r="T29" s="29"/>
      <c r="U29" s="29"/>
      <c r="V29" s="29"/>
      <c r="W29" s="29"/>
      <c r="X29" s="30"/>
      <c r="Y29" s="30"/>
      <c r="Z29" s="121"/>
    </row>
    <row r="30" spans="1:26" s="2" customFormat="1" ht="54.95" customHeight="1">
      <c r="A30" s="3"/>
      <c r="B30" s="3"/>
      <c r="C30" s="125"/>
      <c r="D30" s="126"/>
      <c r="E30" s="126"/>
      <c r="F30" s="126"/>
      <c r="G30" s="126"/>
      <c r="H30" s="126"/>
      <c r="I30" s="126"/>
      <c r="J30" s="3"/>
      <c r="K30" s="3"/>
      <c r="L30" s="3"/>
      <c r="N30" s="29"/>
      <c r="O30" s="29"/>
      <c r="P30" s="29"/>
      <c r="Q30" s="29"/>
      <c r="R30" s="29"/>
      <c r="S30" s="29"/>
      <c r="T30" s="29"/>
      <c r="U30" s="29"/>
      <c r="V30" s="29"/>
      <c r="W30" s="29"/>
      <c r="X30" s="30"/>
      <c r="Y30" s="30"/>
      <c r="Z30" s="121"/>
    </row>
    <row r="31" spans="1:26" s="2" customFormat="1" ht="54.95" customHeight="1">
      <c r="A31" s="3"/>
      <c r="B31" s="3"/>
      <c r="C31" s="125"/>
      <c r="D31" s="126"/>
      <c r="E31" s="126"/>
      <c r="F31" s="126"/>
      <c r="G31" s="126"/>
      <c r="H31" s="126"/>
      <c r="I31" s="126"/>
      <c r="J31" s="3"/>
      <c r="K31" s="3"/>
      <c r="L31" s="3"/>
      <c r="N31" s="29"/>
      <c r="O31" s="29"/>
      <c r="P31" s="29"/>
      <c r="Q31" s="29"/>
      <c r="R31" s="29"/>
      <c r="S31" s="29"/>
      <c r="T31" s="29"/>
      <c r="U31" s="29"/>
      <c r="V31" s="29"/>
      <c r="W31" s="29"/>
      <c r="X31" s="30"/>
      <c r="Y31" s="30"/>
      <c r="Z31" s="121"/>
    </row>
    <row r="32" spans="1:26" s="2" customFormat="1" ht="54.95" customHeight="1">
      <c r="A32" s="3"/>
      <c r="B32" s="3"/>
      <c r="C32" s="125"/>
      <c r="D32" s="126"/>
      <c r="E32" s="126"/>
      <c r="F32" s="126"/>
      <c r="G32" s="126"/>
      <c r="H32" s="126"/>
      <c r="I32" s="126"/>
      <c r="J32" s="3"/>
      <c r="K32" s="3"/>
      <c r="L32" s="3"/>
      <c r="N32" s="29"/>
      <c r="O32" s="29"/>
      <c r="P32" s="29"/>
      <c r="Q32" s="29"/>
      <c r="R32" s="29"/>
      <c r="S32" s="29"/>
      <c r="T32" s="29"/>
      <c r="U32" s="29"/>
      <c r="V32" s="29"/>
      <c r="W32" s="29"/>
      <c r="X32" s="30"/>
      <c r="Y32" s="30"/>
      <c r="Z32" s="121"/>
    </row>
    <row r="33" spans="1:26" s="2" customFormat="1" ht="54.95" customHeight="1">
      <c r="A33" s="3"/>
      <c r="B33" s="3"/>
      <c r="C33" s="125"/>
      <c r="D33" s="126"/>
      <c r="E33" s="126"/>
      <c r="F33" s="126"/>
      <c r="G33" s="126"/>
      <c r="H33" s="126"/>
      <c r="I33" s="126"/>
      <c r="J33" s="3"/>
      <c r="K33" s="3"/>
      <c r="L33" s="3"/>
      <c r="N33" s="29"/>
      <c r="O33" s="29"/>
      <c r="P33" s="29"/>
      <c r="Q33" s="29"/>
      <c r="R33" s="29"/>
      <c r="S33" s="29"/>
      <c r="T33" s="29"/>
      <c r="U33" s="29"/>
      <c r="V33" s="29"/>
      <c r="W33" s="29"/>
      <c r="X33" s="30"/>
      <c r="Y33" s="30"/>
      <c r="Z33" s="121"/>
    </row>
    <row r="34" spans="1:26" s="2" customFormat="1" ht="54.95" customHeight="1">
      <c r="A34" s="3"/>
      <c r="B34" s="3"/>
      <c r="C34" s="125"/>
      <c r="D34" s="126"/>
      <c r="E34" s="126"/>
      <c r="F34" s="126"/>
      <c r="G34" s="126"/>
      <c r="H34" s="126"/>
      <c r="I34" s="126"/>
      <c r="J34" s="3"/>
      <c r="K34" s="3"/>
      <c r="L34" s="3"/>
      <c r="N34" s="29"/>
      <c r="O34" s="29"/>
      <c r="P34" s="29"/>
      <c r="Q34" s="29"/>
      <c r="R34" s="29"/>
      <c r="S34" s="29"/>
      <c r="T34" s="29"/>
      <c r="U34" s="29"/>
      <c r="V34" s="29"/>
      <c r="W34" s="29"/>
      <c r="X34" s="30"/>
      <c r="Y34" s="30"/>
      <c r="Z34" s="121"/>
    </row>
    <row r="35" spans="1:26" s="2" customFormat="1" ht="54.95" customHeight="1">
      <c r="A35" s="3"/>
      <c r="B35" s="3"/>
      <c r="C35" s="125"/>
      <c r="D35" s="126"/>
      <c r="E35" s="126"/>
      <c r="F35" s="126"/>
      <c r="G35" s="126"/>
      <c r="H35" s="126"/>
      <c r="I35" s="126"/>
      <c r="J35" s="3"/>
      <c r="K35" s="3"/>
      <c r="L35" s="3"/>
      <c r="N35" s="29"/>
      <c r="O35" s="29"/>
      <c r="P35" s="29"/>
      <c r="Q35" s="29"/>
      <c r="R35" s="29"/>
      <c r="S35" s="29"/>
      <c r="T35" s="29"/>
      <c r="U35" s="29"/>
      <c r="V35" s="29"/>
      <c r="W35" s="29"/>
      <c r="X35" s="30"/>
      <c r="Y35" s="30"/>
      <c r="Z35" s="121"/>
    </row>
    <row r="36" spans="1:26" s="2" customFormat="1" ht="54.95" customHeight="1">
      <c r="A36" s="3"/>
      <c r="B36" s="3"/>
      <c r="C36" s="125"/>
      <c r="D36" s="126"/>
      <c r="E36" s="126"/>
      <c r="F36" s="126"/>
      <c r="G36" s="126"/>
      <c r="H36" s="126"/>
      <c r="I36" s="126"/>
      <c r="J36" s="3"/>
      <c r="K36" s="3"/>
      <c r="L36" s="3"/>
      <c r="N36" s="29"/>
      <c r="O36" s="29"/>
      <c r="P36" s="29"/>
      <c r="Q36" s="29"/>
      <c r="R36" s="29"/>
      <c r="S36" s="29"/>
      <c r="T36" s="29"/>
      <c r="U36" s="29"/>
      <c r="V36" s="29"/>
      <c r="W36" s="29"/>
      <c r="X36" s="30"/>
      <c r="Y36" s="30"/>
      <c r="Z36" s="121"/>
    </row>
    <row r="37" spans="1:26" ht="54.95" customHeight="1"/>
    <row r="38" spans="1:26" ht="54.95" customHeight="1"/>
    <row r="39" spans="1:26" ht="54.95" customHeight="1"/>
    <row r="40" spans="1:26" ht="54.95" customHeight="1"/>
    <row r="41" spans="1:26" ht="54.95" customHeight="1"/>
    <row r="42" spans="1:26" ht="54.95" customHeight="1"/>
    <row r="43" spans="1:26" ht="54.95" customHeight="1"/>
    <row r="44" spans="1:26" ht="54.95" customHeight="1"/>
    <row r="45" spans="1:26" ht="54.95" customHeight="1"/>
    <row r="46" spans="1:26" ht="54.95" customHeight="1"/>
    <row r="47" spans="1:26" ht="54.95" customHeight="1"/>
    <row r="48" spans="1:26" ht="54.95" customHeight="1"/>
    <row r="49" spans="1:27" ht="54.95" customHeight="1"/>
    <row r="50" spans="1:27" ht="54.95" customHeight="1"/>
    <row r="51" spans="1:27" ht="54.95" customHeight="1"/>
    <row r="52" spans="1:27" ht="54.95" customHeight="1"/>
    <row r="53" spans="1:27" s="121" customFormat="1" ht="54.95" customHeight="1">
      <c r="A53" s="3"/>
      <c r="B53" s="3"/>
      <c r="C53" s="125"/>
      <c r="D53" s="126"/>
      <c r="E53" s="126"/>
      <c r="F53" s="126"/>
      <c r="G53" s="126"/>
      <c r="H53" s="126"/>
      <c r="I53" s="126"/>
      <c r="J53" s="3"/>
      <c r="K53" s="3"/>
      <c r="L53" s="3"/>
      <c r="M53" s="2"/>
      <c r="N53" s="29"/>
      <c r="O53" s="29"/>
      <c r="P53" s="29"/>
      <c r="Q53" s="29"/>
      <c r="R53" s="29"/>
      <c r="S53" s="29"/>
      <c r="T53" s="29"/>
      <c r="U53" s="29"/>
      <c r="V53" s="29"/>
      <c r="W53" s="29"/>
      <c r="X53" s="30"/>
      <c r="Y53" s="30"/>
      <c r="AA53" s="2"/>
    </row>
    <row r="54" spans="1:27" s="121" customFormat="1" ht="54.95" customHeight="1">
      <c r="A54" s="3"/>
      <c r="B54" s="3"/>
      <c r="C54" s="125"/>
      <c r="D54" s="126"/>
      <c r="E54" s="126"/>
      <c r="F54" s="126"/>
      <c r="G54" s="126"/>
      <c r="H54" s="126"/>
      <c r="I54" s="126"/>
      <c r="J54" s="3"/>
      <c r="K54" s="3"/>
      <c r="L54" s="3"/>
      <c r="M54" s="2"/>
      <c r="N54" s="29"/>
      <c r="O54" s="29"/>
      <c r="P54" s="29"/>
      <c r="Q54" s="29"/>
      <c r="R54" s="29"/>
      <c r="S54" s="29"/>
      <c r="T54" s="29"/>
      <c r="U54" s="29"/>
      <c r="V54" s="29"/>
      <c r="W54" s="29"/>
      <c r="X54" s="30"/>
      <c r="Y54" s="30"/>
      <c r="AA54" s="2"/>
    </row>
    <row r="55" spans="1:27" s="121" customFormat="1" ht="54.95" customHeight="1">
      <c r="A55" s="3"/>
      <c r="B55" s="3"/>
      <c r="C55" s="125"/>
      <c r="D55" s="126"/>
      <c r="E55" s="126"/>
      <c r="F55" s="126"/>
      <c r="G55" s="126"/>
      <c r="H55" s="126"/>
      <c r="I55" s="126"/>
      <c r="J55" s="3"/>
      <c r="K55" s="3"/>
      <c r="L55" s="3"/>
      <c r="M55" s="2"/>
      <c r="N55" s="29"/>
      <c r="O55" s="29"/>
      <c r="P55" s="29"/>
      <c r="Q55" s="29"/>
      <c r="R55" s="29"/>
      <c r="S55" s="29"/>
      <c r="T55" s="29"/>
      <c r="U55" s="29"/>
      <c r="V55" s="29"/>
      <c r="W55" s="29"/>
      <c r="X55" s="30"/>
      <c r="Y55" s="30"/>
      <c r="AA55" s="2"/>
    </row>
    <row r="56" spans="1:27" s="121" customFormat="1" ht="54.95" customHeight="1">
      <c r="A56" s="3"/>
      <c r="B56" s="3"/>
      <c r="C56" s="125"/>
      <c r="D56" s="126"/>
      <c r="E56" s="126"/>
      <c r="F56" s="126"/>
      <c r="G56" s="126"/>
      <c r="H56" s="126"/>
      <c r="I56" s="126"/>
      <c r="J56" s="3"/>
      <c r="K56" s="3"/>
      <c r="L56" s="3"/>
      <c r="M56" s="2"/>
      <c r="N56" s="29"/>
      <c r="O56" s="29"/>
      <c r="P56" s="29"/>
      <c r="Q56" s="29"/>
      <c r="R56" s="29"/>
      <c r="S56" s="29"/>
      <c r="T56" s="29"/>
      <c r="U56" s="29"/>
      <c r="V56" s="29"/>
      <c r="W56" s="29"/>
      <c r="X56" s="30"/>
      <c r="Y56" s="30"/>
      <c r="AA56" s="2"/>
    </row>
    <row r="57" spans="1:27" s="121" customFormat="1" ht="54.95" customHeight="1">
      <c r="A57" s="3"/>
      <c r="B57" s="3"/>
      <c r="C57" s="125"/>
      <c r="D57" s="126"/>
      <c r="E57" s="126"/>
      <c r="F57" s="126"/>
      <c r="G57" s="126"/>
      <c r="H57" s="126"/>
      <c r="I57" s="126"/>
      <c r="J57" s="3"/>
      <c r="K57" s="3"/>
      <c r="L57" s="3"/>
      <c r="M57" s="2"/>
      <c r="N57" s="29"/>
      <c r="O57" s="29"/>
      <c r="P57" s="29"/>
      <c r="Q57" s="29"/>
      <c r="R57" s="29"/>
      <c r="S57" s="29"/>
      <c r="T57" s="29"/>
      <c r="U57" s="29"/>
      <c r="V57" s="29"/>
      <c r="W57" s="29"/>
      <c r="X57" s="30"/>
      <c r="Y57" s="30"/>
      <c r="AA57" s="2"/>
    </row>
    <row r="58" spans="1:27" s="121" customFormat="1" ht="54.95" customHeight="1">
      <c r="A58" s="3"/>
      <c r="B58" s="3"/>
      <c r="C58" s="125"/>
      <c r="D58" s="126"/>
      <c r="E58" s="126"/>
      <c r="F58" s="126"/>
      <c r="G58" s="126"/>
      <c r="H58" s="126"/>
      <c r="I58" s="126"/>
      <c r="J58" s="3"/>
      <c r="K58" s="3"/>
      <c r="L58" s="3"/>
      <c r="M58" s="2"/>
      <c r="N58" s="29"/>
      <c r="O58" s="29"/>
      <c r="P58" s="29"/>
      <c r="Q58" s="29"/>
      <c r="R58" s="29"/>
      <c r="S58" s="29"/>
      <c r="T58" s="29"/>
      <c r="U58" s="29"/>
      <c r="V58" s="29"/>
      <c r="W58" s="29"/>
      <c r="X58" s="30"/>
      <c r="Y58" s="30"/>
      <c r="AA58" s="2"/>
    </row>
    <row r="59" spans="1:27" s="121" customFormat="1" ht="54.95" customHeight="1">
      <c r="A59" s="3"/>
      <c r="B59" s="3"/>
      <c r="C59" s="125"/>
      <c r="D59" s="126"/>
      <c r="E59" s="126"/>
      <c r="F59" s="126"/>
      <c r="G59" s="126"/>
      <c r="H59" s="126"/>
      <c r="I59" s="126"/>
      <c r="J59" s="3"/>
      <c r="K59" s="3"/>
      <c r="L59" s="3"/>
      <c r="M59" s="2"/>
      <c r="N59" s="29"/>
      <c r="O59" s="29"/>
      <c r="P59" s="29"/>
      <c r="Q59" s="29"/>
      <c r="R59" s="29"/>
      <c r="S59" s="29"/>
      <c r="T59" s="29"/>
      <c r="U59" s="29"/>
      <c r="V59" s="29"/>
      <c r="W59" s="29"/>
      <c r="X59" s="30"/>
      <c r="Y59" s="30"/>
      <c r="AA59" s="2"/>
    </row>
    <row r="60" spans="1:27" s="121" customFormat="1" ht="54.95" customHeight="1">
      <c r="A60" s="3"/>
      <c r="B60" s="3"/>
      <c r="C60" s="125"/>
      <c r="D60" s="126"/>
      <c r="E60" s="126"/>
      <c r="F60" s="126"/>
      <c r="G60" s="126"/>
      <c r="H60" s="126"/>
      <c r="I60" s="126"/>
      <c r="J60" s="3"/>
      <c r="K60" s="3"/>
      <c r="L60" s="3"/>
      <c r="M60" s="2"/>
      <c r="N60" s="29"/>
      <c r="O60" s="29"/>
      <c r="P60" s="29"/>
      <c r="Q60" s="29"/>
      <c r="R60" s="29"/>
      <c r="S60" s="29"/>
      <c r="T60" s="29"/>
      <c r="U60" s="29"/>
      <c r="V60" s="29"/>
      <c r="W60" s="29"/>
      <c r="X60" s="30"/>
      <c r="Y60" s="30"/>
      <c r="AA60" s="2"/>
    </row>
    <row r="61" spans="1:27" s="121" customFormat="1" ht="54.95" customHeight="1">
      <c r="A61" s="3"/>
      <c r="B61" s="3"/>
      <c r="C61" s="125"/>
      <c r="D61" s="126"/>
      <c r="E61" s="126"/>
      <c r="F61" s="126"/>
      <c r="G61" s="126"/>
      <c r="H61" s="126"/>
      <c r="I61" s="126"/>
      <c r="J61" s="3"/>
      <c r="K61" s="3"/>
      <c r="L61" s="3"/>
      <c r="M61" s="2"/>
      <c r="N61" s="29"/>
      <c r="O61" s="29"/>
      <c r="P61" s="29"/>
      <c r="Q61" s="29"/>
      <c r="R61" s="29"/>
      <c r="S61" s="29"/>
      <c r="T61" s="29"/>
      <c r="U61" s="29"/>
      <c r="V61" s="29"/>
      <c r="W61" s="29"/>
      <c r="X61" s="30"/>
      <c r="Y61" s="30"/>
      <c r="AA61" s="2"/>
    </row>
    <row r="62" spans="1:27" s="121" customFormat="1" ht="54.95" customHeight="1">
      <c r="A62" s="3"/>
      <c r="B62" s="3"/>
      <c r="C62" s="125"/>
      <c r="D62" s="126"/>
      <c r="E62" s="126"/>
      <c r="F62" s="126"/>
      <c r="G62" s="126"/>
      <c r="H62" s="126"/>
      <c r="I62" s="126"/>
      <c r="J62" s="3"/>
      <c r="K62" s="3"/>
      <c r="L62" s="3"/>
      <c r="M62" s="2"/>
      <c r="N62" s="29"/>
      <c r="O62" s="29"/>
      <c r="P62" s="29"/>
      <c r="Q62" s="29"/>
      <c r="R62" s="29"/>
      <c r="S62" s="29"/>
      <c r="T62" s="29"/>
      <c r="U62" s="29"/>
      <c r="V62" s="29"/>
      <c r="W62" s="29"/>
      <c r="X62" s="30"/>
      <c r="Y62" s="30"/>
      <c r="AA62" s="2"/>
    </row>
    <row r="63" spans="1:27" s="121" customFormat="1" ht="54.95" customHeight="1">
      <c r="A63" s="3"/>
      <c r="B63" s="3"/>
      <c r="C63" s="125"/>
      <c r="D63" s="126"/>
      <c r="E63" s="126"/>
      <c r="F63" s="126"/>
      <c r="G63" s="126"/>
      <c r="H63" s="126"/>
      <c r="I63" s="126"/>
      <c r="J63" s="3"/>
      <c r="K63" s="3"/>
      <c r="L63" s="3"/>
      <c r="M63" s="2"/>
      <c r="N63" s="29"/>
      <c r="O63" s="29"/>
      <c r="P63" s="29"/>
      <c r="Q63" s="29"/>
      <c r="R63" s="29"/>
      <c r="S63" s="29"/>
      <c r="T63" s="29"/>
      <c r="U63" s="29"/>
      <c r="V63" s="29"/>
      <c r="W63" s="29"/>
      <c r="X63" s="30"/>
      <c r="Y63" s="30"/>
      <c r="AA63" s="2"/>
    </row>
    <row r="64" spans="1:27" s="121" customFormat="1" ht="54.95" customHeight="1">
      <c r="A64" s="3"/>
      <c r="B64" s="3"/>
      <c r="C64" s="125"/>
      <c r="D64" s="126"/>
      <c r="E64" s="126"/>
      <c r="F64" s="126"/>
      <c r="G64" s="126"/>
      <c r="H64" s="126"/>
      <c r="I64" s="126"/>
      <c r="J64" s="3"/>
      <c r="K64" s="3"/>
      <c r="L64" s="3"/>
      <c r="M64" s="2"/>
      <c r="N64" s="29"/>
      <c r="O64" s="29"/>
      <c r="P64" s="29"/>
      <c r="Q64" s="29"/>
      <c r="R64" s="29"/>
      <c r="S64" s="29"/>
      <c r="T64" s="29"/>
      <c r="U64" s="29"/>
      <c r="V64" s="29"/>
      <c r="W64" s="29"/>
      <c r="X64" s="30"/>
      <c r="Y64" s="30"/>
      <c r="AA64" s="2"/>
    </row>
    <row r="65" spans="1:27" s="121" customFormat="1" ht="54.95" customHeight="1">
      <c r="A65" s="3"/>
      <c r="B65" s="3"/>
      <c r="C65" s="125"/>
      <c r="D65" s="126"/>
      <c r="E65" s="126"/>
      <c r="F65" s="126"/>
      <c r="G65" s="126"/>
      <c r="H65" s="126"/>
      <c r="I65" s="126"/>
      <c r="J65" s="3"/>
      <c r="K65" s="3"/>
      <c r="L65" s="3"/>
      <c r="M65" s="2"/>
      <c r="N65" s="29"/>
      <c r="O65" s="29"/>
      <c r="P65" s="29"/>
      <c r="Q65" s="29"/>
      <c r="R65" s="29"/>
      <c r="S65" s="29"/>
      <c r="T65" s="29"/>
      <c r="U65" s="29"/>
      <c r="V65" s="29"/>
      <c r="W65" s="29"/>
      <c r="X65" s="30"/>
      <c r="Y65" s="30"/>
      <c r="AA65" s="2"/>
    </row>
    <row r="66" spans="1:27" s="121" customFormat="1" ht="54.95" customHeight="1">
      <c r="A66" s="3"/>
      <c r="B66" s="3"/>
      <c r="C66" s="125"/>
      <c r="D66" s="126"/>
      <c r="E66" s="126"/>
      <c r="F66" s="126"/>
      <c r="G66" s="126"/>
      <c r="H66" s="126"/>
      <c r="I66" s="126"/>
      <c r="J66" s="3"/>
      <c r="K66" s="3"/>
      <c r="L66" s="3"/>
      <c r="M66" s="2"/>
      <c r="N66" s="29"/>
      <c r="O66" s="29"/>
      <c r="P66" s="29"/>
      <c r="Q66" s="29"/>
      <c r="R66" s="29"/>
      <c r="S66" s="29"/>
      <c r="T66" s="29"/>
      <c r="U66" s="29"/>
      <c r="V66" s="29"/>
      <c r="W66" s="29"/>
      <c r="X66" s="30"/>
      <c r="Y66" s="30"/>
      <c r="AA66" s="2"/>
    </row>
    <row r="67" spans="1:27" s="121" customFormat="1" ht="54.95" customHeight="1">
      <c r="A67" s="3"/>
      <c r="B67" s="3"/>
      <c r="C67" s="125"/>
      <c r="D67" s="126"/>
      <c r="E67" s="126"/>
      <c r="F67" s="126"/>
      <c r="G67" s="126"/>
      <c r="H67" s="126"/>
      <c r="I67" s="126"/>
      <c r="J67" s="3"/>
      <c r="K67" s="3"/>
      <c r="L67" s="3"/>
      <c r="M67" s="2"/>
      <c r="N67" s="29"/>
      <c r="O67" s="29"/>
      <c r="P67" s="29"/>
      <c r="Q67" s="29"/>
      <c r="R67" s="29"/>
      <c r="S67" s="29"/>
      <c r="T67" s="29"/>
      <c r="U67" s="29"/>
      <c r="V67" s="29"/>
      <c r="W67" s="29"/>
      <c r="X67" s="127"/>
      <c r="Y67" s="127"/>
      <c r="AA67" s="2"/>
    </row>
    <row r="68" spans="1:27" s="121" customFormat="1" ht="54.95" customHeight="1">
      <c r="A68" s="3"/>
      <c r="B68" s="3"/>
      <c r="C68" s="125"/>
      <c r="D68" s="126"/>
      <c r="E68" s="126"/>
      <c r="F68" s="126"/>
      <c r="G68" s="126"/>
      <c r="H68" s="126"/>
      <c r="I68" s="126"/>
      <c r="J68" s="3"/>
      <c r="K68" s="3"/>
      <c r="L68" s="3"/>
      <c r="M68" s="2"/>
      <c r="N68" s="29"/>
      <c r="O68" s="29"/>
      <c r="P68" s="29"/>
      <c r="Q68" s="29"/>
      <c r="R68" s="29"/>
      <c r="S68" s="29"/>
      <c r="T68" s="29"/>
      <c r="U68" s="29"/>
      <c r="V68" s="29"/>
      <c r="W68" s="29"/>
      <c r="X68" s="29"/>
      <c r="Y68" s="29"/>
      <c r="AA68" s="2"/>
    </row>
    <row r="69" spans="1:27" ht="54.95" customHeight="1"/>
    <row r="70" spans="1:27" ht="54.95" customHeight="1"/>
    <row r="71" spans="1:27" ht="54.95" customHeight="1"/>
    <row r="72" spans="1:27" ht="54.95" customHeight="1"/>
    <row r="73" spans="1:27" ht="54.95" customHeight="1"/>
    <row r="74" spans="1:27" ht="54.95" customHeight="1"/>
    <row r="75" spans="1:27" ht="54.95" customHeight="1"/>
    <row r="76" spans="1:27" ht="54.95" customHeight="1"/>
    <row r="77" spans="1:27" ht="54.95" customHeight="1"/>
    <row r="78" spans="1:27" ht="54.95" customHeight="1"/>
    <row r="79" spans="1:27" ht="54.95" customHeight="1"/>
    <row r="80" spans="1:27" ht="54.95" customHeight="1"/>
    <row r="81" ht="54.95" customHeight="1"/>
    <row r="82" ht="54.95" customHeight="1"/>
    <row r="83" ht="54.95" customHeight="1"/>
    <row r="84" ht="54.95" customHeight="1"/>
    <row r="85" ht="54.95" customHeight="1"/>
    <row r="86" ht="54.95" customHeight="1"/>
    <row r="87" ht="54.95" customHeight="1"/>
    <row r="88" ht="54.95" customHeight="1"/>
    <row r="89" ht="54.95" customHeight="1"/>
    <row r="90" ht="54.95" customHeight="1"/>
    <row r="91" ht="54.95" customHeight="1"/>
    <row r="92" ht="54.95" customHeight="1"/>
    <row r="93" ht="54.95" customHeight="1"/>
    <row r="94" ht="54.95" customHeight="1"/>
    <row r="95" ht="54.95" customHeight="1"/>
    <row r="96" ht="54.95" customHeight="1"/>
    <row r="97" ht="54.95" customHeight="1"/>
    <row r="98" ht="54.95" customHeight="1"/>
    <row r="99" ht="54.95" customHeight="1"/>
    <row r="100" ht="54.95" customHeight="1"/>
    <row r="101" ht="54.95" customHeight="1"/>
    <row r="102" ht="54.95" customHeight="1"/>
    <row r="103" ht="54.95" customHeight="1"/>
    <row r="104" ht="54.95" customHeight="1"/>
    <row r="105" ht="54.95" customHeight="1"/>
    <row r="106" ht="54.95" customHeight="1"/>
    <row r="107" ht="54.95" customHeight="1"/>
    <row r="108" ht="54.95" customHeight="1"/>
    <row r="109" ht="54.95" customHeight="1"/>
    <row r="110" ht="54.95" customHeight="1"/>
    <row r="111" ht="54.95" customHeight="1"/>
    <row r="112" ht="54.95" customHeight="1"/>
    <row r="113" ht="54.95" customHeight="1"/>
    <row r="114" ht="54.95" customHeight="1"/>
    <row r="115" ht="54.95" customHeight="1"/>
    <row r="116" ht="54.95" customHeight="1"/>
    <row r="117" ht="54.95" customHeight="1"/>
    <row r="118" ht="54.95" customHeight="1"/>
    <row r="119" ht="54.95" customHeight="1"/>
    <row r="120" ht="54.95" customHeight="1"/>
    <row r="121" ht="54.95" customHeight="1"/>
    <row r="122" ht="54.95" customHeight="1"/>
    <row r="123" ht="54.95" customHeight="1"/>
    <row r="124" ht="54.95" customHeight="1"/>
    <row r="125" ht="54.95" customHeight="1"/>
    <row r="126" ht="54.95" customHeight="1"/>
    <row r="127" ht="54.95" customHeight="1"/>
    <row r="128" ht="54.95" customHeight="1"/>
    <row r="129" ht="54.95" customHeight="1"/>
    <row r="130" ht="54.95" customHeight="1"/>
    <row r="131" ht="54.95" customHeight="1"/>
    <row r="132" ht="54.95" customHeight="1"/>
    <row r="133" ht="54.95" customHeight="1"/>
    <row r="134" ht="54.95" customHeight="1"/>
    <row r="135" ht="54.95" customHeight="1"/>
    <row r="136" ht="54.95" customHeight="1"/>
    <row r="137" ht="54.95" customHeight="1"/>
    <row r="138" ht="54.95" customHeight="1"/>
    <row r="139" ht="54.95" customHeight="1"/>
    <row r="140" ht="54.95" customHeight="1"/>
    <row r="141" ht="54.95" customHeight="1"/>
    <row r="142" ht="54.95" customHeight="1"/>
    <row r="143" ht="54.95" customHeight="1"/>
    <row r="144" ht="54.95" customHeight="1"/>
    <row r="145" ht="54.95" customHeight="1"/>
    <row r="146" ht="54.95" customHeight="1"/>
    <row r="147" ht="54.95" customHeight="1"/>
    <row r="148" ht="54.95" customHeight="1"/>
    <row r="149" ht="54.95" customHeight="1"/>
    <row r="150" ht="54.95" customHeight="1"/>
    <row r="151" ht="54.95" customHeight="1"/>
    <row r="152" ht="54.95" customHeight="1"/>
    <row r="153" ht="54.95" customHeight="1"/>
    <row r="154" ht="54.95" customHeight="1"/>
    <row r="155" ht="54.95" customHeight="1"/>
    <row r="156" ht="54.95" customHeight="1"/>
    <row r="157" ht="54.95" customHeight="1"/>
    <row r="158" ht="54.95" customHeight="1"/>
    <row r="159" ht="54.95" customHeight="1"/>
    <row r="160" ht="54.95" customHeight="1"/>
    <row r="161" ht="54.95" customHeight="1"/>
    <row r="162" ht="54.95" customHeight="1"/>
    <row r="163" ht="54.95" customHeight="1"/>
    <row r="164" ht="54.95" customHeight="1"/>
    <row r="165" ht="54.95" customHeight="1"/>
    <row r="166" ht="54.95" customHeight="1"/>
    <row r="167" ht="54.95" customHeight="1"/>
    <row r="168" ht="54.95" customHeight="1"/>
    <row r="169" ht="54.95" customHeight="1"/>
    <row r="170" ht="54.95" customHeight="1"/>
    <row r="171" ht="54.95" customHeight="1"/>
    <row r="172" ht="54.95" customHeight="1"/>
    <row r="173" ht="54.95" customHeight="1"/>
    <row r="174" ht="54.95" customHeight="1"/>
    <row r="175" ht="54.95" customHeight="1"/>
    <row r="176" ht="54.95" customHeight="1"/>
    <row r="177" spans="1:26" ht="54.95" customHeight="1"/>
    <row r="178" spans="1:26" ht="54.95" customHeight="1"/>
    <row r="179" spans="1:26" ht="54.95" customHeight="1"/>
    <row r="180" spans="1:26" ht="54.95" customHeight="1"/>
    <row r="181" spans="1:26" s="2" customFormat="1" ht="54.95" customHeight="1">
      <c r="A181" s="3"/>
      <c r="B181" s="3"/>
      <c r="C181" s="125"/>
      <c r="D181" s="126"/>
      <c r="E181" s="126"/>
      <c r="F181" s="126"/>
      <c r="G181" s="126"/>
      <c r="H181" s="126"/>
      <c r="I181" s="126"/>
      <c r="J181" s="3"/>
      <c r="K181" s="3"/>
      <c r="L181" s="3"/>
      <c r="N181" s="29"/>
      <c r="O181" s="29"/>
      <c r="P181" s="29"/>
      <c r="Q181" s="29"/>
      <c r="R181" s="29"/>
      <c r="S181" s="29"/>
      <c r="T181" s="29"/>
      <c r="U181" s="29"/>
      <c r="V181" s="29"/>
      <c r="W181" s="29"/>
      <c r="X181" s="30"/>
      <c r="Y181" s="30"/>
      <c r="Z181" s="121"/>
    </row>
    <row r="182" spans="1:26" s="2" customFormat="1" ht="54.95" customHeight="1">
      <c r="A182" s="3"/>
      <c r="B182" s="3"/>
      <c r="C182" s="125"/>
      <c r="D182" s="126"/>
      <c r="E182" s="126"/>
      <c r="F182" s="126"/>
      <c r="G182" s="126"/>
      <c r="H182" s="126"/>
      <c r="I182" s="126"/>
      <c r="J182" s="3"/>
      <c r="K182" s="3"/>
      <c r="L182" s="3"/>
      <c r="N182" s="29"/>
      <c r="O182" s="29"/>
      <c r="P182" s="29"/>
      <c r="Q182" s="29"/>
      <c r="R182" s="29"/>
      <c r="S182" s="29"/>
      <c r="T182" s="29"/>
      <c r="U182" s="29"/>
      <c r="V182" s="29"/>
      <c r="W182" s="29"/>
      <c r="X182" s="30"/>
      <c r="Y182" s="30"/>
      <c r="Z182" s="121"/>
    </row>
    <row r="183" spans="1:26" s="2" customFormat="1" ht="54.95" customHeight="1">
      <c r="A183" s="3"/>
      <c r="B183" s="3"/>
      <c r="C183" s="125"/>
      <c r="D183" s="126"/>
      <c r="E183" s="126"/>
      <c r="F183" s="126"/>
      <c r="G183" s="126"/>
      <c r="H183" s="126"/>
      <c r="I183" s="126"/>
      <c r="J183" s="3"/>
      <c r="K183" s="3"/>
      <c r="L183" s="3"/>
      <c r="N183" s="29"/>
      <c r="O183" s="29"/>
      <c r="P183" s="29"/>
      <c r="Q183" s="29"/>
      <c r="R183" s="29"/>
      <c r="S183" s="29"/>
      <c r="T183" s="29"/>
      <c r="U183" s="29"/>
      <c r="V183" s="29"/>
      <c r="W183" s="29"/>
      <c r="X183" s="30"/>
      <c r="Y183" s="30"/>
      <c r="Z183" s="121"/>
    </row>
    <row r="184" spans="1:26" s="2" customFormat="1" ht="54.95" customHeight="1">
      <c r="A184" s="3"/>
      <c r="B184" s="3"/>
      <c r="C184" s="125"/>
      <c r="D184" s="126"/>
      <c r="E184" s="126"/>
      <c r="F184" s="126"/>
      <c r="G184" s="126"/>
      <c r="H184" s="126"/>
      <c r="I184" s="126"/>
      <c r="J184" s="3"/>
      <c r="K184" s="3"/>
      <c r="L184" s="3"/>
      <c r="N184" s="29"/>
      <c r="O184" s="29"/>
      <c r="P184" s="29"/>
      <c r="Q184" s="29"/>
      <c r="R184" s="29"/>
      <c r="S184" s="29"/>
      <c r="T184" s="29"/>
      <c r="U184" s="29"/>
      <c r="V184" s="29"/>
      <c r="W184" s="29"/>
      <c r="X184" s="30"/>
      <c r="Y184" s="30"/>
      <c r="Z184" s="121"/>
    </row>
    <row r="185" spans="1:26" s="2" customFormat="1" ht="54.95" customHeight="1">
      <c r="A185" s="3"/>
      <c r="B185" s="3"/>
      <c r="C185" s="125"/>
      <c r="D185" s="126"/>
      <c r="E185" s="126"/>
      <c r="F185" s="126"/>
      <c r="G185" s="126"/>
      <c r="H185" s="126"/>
      <c r="I185" s="126"/>
      <c r="J185" s="3"/>
      <c r="K185" s="3"/>
      <c r="L185" s="3"/>
      <c r="N185" s="29"/>
      <c r="O185" s="29"/>
      <c r="P185" s="29"/>
      <c r="Q185" s="29"/>
      <c r="R185" s="29"/>
      <c r="S185" s="29"/>
      <c r="T185" s="29"/>
      <c r="U185" s="29"/>
      <c r="V185" s="29"/>
      <c r="W185" s="29"/>
      <c r="X185" s="30"/>
      <c r="Y185" s="30"/>
      <c r="Z185" s="121"/>
    </row>
    <row r="186" spans="1:26" s="2" customFormat="1" ht="54.95" customHeight="1">
      <c r="A186" s="3"/>
      <c r="B186" s="3"/>
      <c r="C186" s="125"/>
      <c r="D186" s="126"/>
      <c r="E186" s="126"/>
      <c r="F186" s="126"/>
      <c r="G186" s="126"/>
      <c r="H186" s="126"/>
      <c r="I186" s="126"/>
      <c r="J186" s="3"/>
      <c r="K186" s="3"/>
      <c r="L186" s="3"/>
      <c r="N186" s="29"/>
      <c r="O186" s="29"/>
      <c r="P186" s="29"/>
      <c r="Q186" s="29"/>
      <c r="R186" s="29"/>
      <c r="S186" s="29"/>
      <c r="T186" s="29"/>
      <c r="U186" s="29"/>
      <c r="V186" s="29"/>
      <c r="W186" s="29"/>
      <c r="X186" s="30"/>
      <c r="Y186" s="30"/>
      <c r="Z186" s="121"/>
    </row>
    <row r="187" spans="1:26" s="2" customFormat="1" ht="54.95" customHeight="1">
      <c r="A187" s="3"/>
      <c r="B187" s="3"/>
      <c r="C187" s="125"/>
      <c r="D187" s="126"/>
      <c r="E187" s="126"/>
      <c r="F187" s="126"/>
      <c r="G187" s="126"/>
      <c r="H187" s="126"/>
      <c r="I187" s="126"/>
      <c r="J187" s="3"/>
      <c r="K187" s="3"/>
      <c r="L187" s="3"/>
      <c r="N187" s="29"/>
      <c r="O187" s="29"/>
      <c r="P187" s="29"/>
      <c r="Q187" s="29"/>
      <c r="R187" s="29"/>
      <c r="S187" s="29"/>
      <c r="T187" s="29"/>
      <c r="U187" s="29"/>
      <c r="V187" s="29"/>
      <c r="W187" s="29"/>
      <c r="X187" s="30"/>
      <c r="Y187" s="30"/>
      <c r="Z187" s="121"/>
    </row>
    <row r="188" spans="1:26" s="15" customFormat="1" ht="54.95" hidden="1" customHeight="1">
      <c r="B188" s="15" t="str">
        <f>A9</f>
        <v>كميت سنجه عملكرد همسان شده :</v>
      </c>
      <c r="C188" s="128" t="s">
        <v>161</v>
      </c>
      <c r="D188" s="129"/>
      <c r="E188" s="129"/>
      <c r="F188" s="129"/>
      <c r="G188" s="129"/>
      <c r="H188" s="129"/>
      <c r="I188" s="129"/>
      <c r="N188" s="29"/>
      <c r="O188" s="29"/>
      <c r="P188" s="29"/>
      <c r="Q188" s="29"/>
      <c r="R188" s="29"/>
      <c r="S188" s="29"/>
      <c r="T188" s="29"/>
      <c r="U188" s="29"/>
      <c r="V188" s="29"/>
      <c r="W188" s="29"/>
      <c r="X188" s="30"/>
      <c r="Y188" s="30"/>
      <c r="Z188" s="30"/>
    </row>
    <row r="189" spans="1:26" s="15" customFormat="1" ht="54.95" hidden="1" customHeight="1">
      <c r="C189" s="128" t="s">
        <v>162</v>
      </c>
      <c r="D189" s="129"/>
      <c r="E189" s="129"/>
      <c r="F189" s="129"/>
      <c r="G189" s="129"/>
      <c r="H189" s="129"/>
      <c r="I189" s="129"/>
      <c r="N189" s="29"/>
      <c r="O189" s="29"/>
      <c r="P189" s="29"/>
      <c r="Q189" s="29"/>
      <c r="R189" s="29"/>
      <c r="S189" s="29"/>
      <c r="T189" s="29"/>
      <c r="U189" s="29"/>
      <c r="V189" s="29"/>
      <c r="W189" s="29"/>
      <c r="X189" s="30"/>
      <c r="Y189" s="30"/>
      <c r="Z189" s="30"/>
    </row>
    <row r="190" spans="1:26" s="2" customFormat="1" ht="54.95" customHeight="1">
      <c r="A190" s="3"/>
      <c r="B190" s="3"/>
      <c r="C190" s="125"/>
      <c r="D190" s="126"/>
      <c r="E190" s="126"/>
      <c r="F190" s="126"/>
      <c r="G190" s="126"/>
      <c r="H190" s="126"/>
      <c r="I190" s="126"/>
      <c r="J190" s="3"/>
      <c r="K190" s="3"/>
      <c r="L190" s="3"/>
      <c r="N190" s="29"/>
      <c r="O190" s="29"/>
      <c r="P190" s="29"/>
      <c r="Q190" s="29"/>
      <c r="R190" s="29"/>
      <c r="S190" s="29"/>
      <c r="T190" s="29"/>
      <c r="U190" s="29"/>
      <c r="V190" s="29"/>
      <c r="W190" s="29"/>
      <c r="X190" s="30"/>
      <c r="Y190" s="30"/>
      <c r="Z190" s="121"/>
    </row>
    <row r="191" spans="1:26" s="2" customFormat="1" ht="54.95" customHeight="1">
      <c r="A191" s="3"/>
      <c r="B191" s="3"/>
      <c r="C191" s="125"/>
      <c r="D191" s="126"/>
      <c r="E191" s="126"/>
      <c r="F191" s="126"/>
      <c r="G191" s="126"/>
      <c r="H191" s="126"/>
      <c r="I191" s="126"/>
      <c r="J191" s="3"/>
      <c r="K191" s="3"/>
      <c r="L191" s="3"/>
      <c r="N191" s="29"/>
      <c r="O191" s="29"/>
      <c r="P191" s="29"/>
      <c r="Q191" s="29"/>
      <c r="R191" s="29"/>
      <c r="S191" s="29"/>
      <c r="T191" s="29"/>
      <c r="U191" s="29"/>
      <c r="V191" s="29"/>
      <c r="W191" s="29"/>
      <c r="X191" s="30"/>
      <c r="Y191" s="30"/>
      <c r="Z191" s="121"/>
    </row>
    <row r="192" spans="1:26" s="2" customFormat="1" ht="54.95" customHeight="1">
      <c r="A192" s="3"/>
      <c r="B192" s="3"/>
      <c r="C192" s="125"/>
      <c r="D192" s="126"/>
      <c r="E192" s="126"/>
      <c r="F192" s="126"/>
      <c r="G192" s="126"/>
      <c r="H192" s="126"/>
      <c r="I192" s="126"/>
      <c r="J192" s="3"/>
      <c r="K192" s="3"/>
      <c r="L192" s="3"/>
      <c r="N192" s="29"/>
      <c r="O192" s="29"/>
      <c r="P192" s="29"/>
      <c r="Q192" s="29"/>
      <c r="R192" s="29"/>
      <c r="S192" s="29"/>
      <c r="T192" s="29"/>
      <c r="U192" s="29"/>
      <c r="V192" s="29"/>
      <c r="W192" s="29"/>
      <c r="X192" s="30"/>
      <c r="Y192" s="30"/>
      <c r="Z192" s="121"/>
    </row>
    <row r="193" spans="1:26" s="2" customFormat="1" ht="54.95" customHeight="1">
      <c r="A193" s="3"/>
      <c r="B193" s="3"/>
      <c r="C193" s="125"/>
      <c r="D193" s="126"/>
      <c r="E193" s="126"/>
      <c r="F193" s="126"/>
      <c r="G193" s="126"/>
      <c r="H193" s="126"/>
      <c r="I193" s="126"/>
      <c r="J193" s="3"/>
      <c r="K193" s="3"/>
      <c r="L193" s="3"/>
      <c r="N193" s="29"/>
      <c r="O193" s="29"/>
      <c r="P193" s="29"/>
      <c r="Q193" s="29"/>
      <c r="R193" s="29"/>
      <c r="S193" s="29"/>
      <c r="T193" s="29"/>
      <c r="U193" s="29"/>
      <c r="V193" s="29"/>
      <c r="W193" s="29"/>
      <c r="X193" s="30"/>
      <c r="Y193" s="30"/>
      <c r="Z193" s="121"/>
    </row>
    <row r="194" spans="1:26" s="2" customFormat="1" ht="54.95" customHeight="1">
      <c r="A194" s="3"/>
      <c r="B194" s="3"/>
      <c r="C194" s="125"/>
      <c r="D194" s="126"/>
      <c r="E194" s="126"/>
      <c r="F194" s="126"/>
      <c r="G194" s="126"/>
      <c r="H194" s="126"/>
      <c r="I194" s="126"/>
      <c r="J194" s="3"/>
      <c r="K194" s="3"/>
      <c r="L194" s="3"/>
      <c r="N194" s="29"/>
      <c r="O194" s="29"/>
      <c r="P194" s="29"/>
      <c r="Q194" s="29"/>
      <c r="R194" s="29"/>
      <c r="S194" s="29"/>
      <c r="T194" s="29"/>
      <c r="U194" s="29"/>
      <c r="V194" s="29"/>
      <c r="W194" s="29"/>
      <c r="X194" s="30"/>
      <c r="Y194" s="30"/>
      <c r="Z194" s="121"/>
    </row>
    <row r="195" spans="1:26" s="2" customFormat="1" ht="54.95" customHeight="1">
      <c r="A195" s="3"/>
      <c r="B195" s="3"/>
      <c r="C195" s="125"/>
      <c r="D195" s="126"/>
      <c r="E195" s="126"/>
      <c r="F195" s="126"/>
      <c r="G195" s="126"/>
      <c r="H195" s="126"/>
      <c r="I195" s="126"/>
      <c r="J195" s="3"/>
      <c r="K195" s="3"/>
      <c r="L195" s="3"/>
      <c r="N195" s="29"/>
      <c r="O195" s="29"/>
      <c r="P195" s="29"/>
      <c r="Q195" s="29"/>
      <c r="R195" s="29"/>
      <c r="S195" s="29"/>
      <c r="T195" s="29"/>
      <c r="U195" s="29"/>
      <c r="V195" s="29"/>
      <c r="W195" s="29"/>
      <c r="X195" s="30"/>
      <c r="Y195" s="30"/>
      <c r="Z195" s="121"/>
    </row>
    <row r="196" spans="1:26" s="2" customFormat="1" ht="54.95" customHeight="1">
      <c r="A196" s="3"/>
      <c r="B196" s="3"/>
      <c r="C196" s="125"/>
      <c r="D196" s="126"/>
      <c r="E196" s="126"/>
      <c r="F196" s="126"/>
      <c r="G196" s="126"/>
      <c r="H196" s="126"/>
      <c r="I196" s="126"/>
      <c r="J196" s="3"/>
      <c r="K196" s="3"/>
      <c r="L196" s="3"/>
      <c r="N196" s="29"/>
      <c r="O196" s="29"/>
      <c r="P196" s="29"/>
      <c r="Q196" s="29"/>
      <c r="R196" s="29"/>
      <c r="S196" s="29"/>
      <c r="T196" s="29"/>
      <c r="U196" s="29"/>
      <c r="V196" s="29"/>
      <c r="W196" s="29"/>
      <c r="X196" s="30"/>
      <c r="Y196" s="30"/>
      <c r="Z196" s="121"/>
    </row>
    <row r="197" spans="1:26" ht="54.95" customHeight="1"/>
    <row r="198" spans="1:26" ht="54.95" customHeight="1"/>
    <row r="199" spans="1:26" ht="54.95" customHeight="1"/>
    <row r="200" spans="1:26" ht="54.95" customHeight="1"/>
    <row r="201" spans="1:26" ht="54.95" customHeight="1"/>
    <row r="202" spans="1:26" ht="54.95" customHeight="1"/>
    <row r="203" spans="1:26" ht="54.95" customHeight="1"/>
    <row r="204" spans="1:26" ht="54.95" customHeight="1"/>
    <row r="205" spans="1:26" ht="54.95" customHeight="1"/>
    <row r="206" spans="1:26" ht="54.95" customHeight="1"/>
    <row r="207" spans="1:26" ht="54.95" customHeight="1"/>
    <row r="208" spans="1:26" ht="54.95" customHeight="1"/>
    <row r="209" ht="54.95" customHeight="1"/>
    <row r="210" ht="54.95" customHeight="1"/>
    <row r="211" ht="54.95" customHeight="1"/>
    <row r="212" ht="54.95" customHeight="1"/>
    <row r="213" ht="54.95" customHeight="1"/>
    <row r="214" ht="54.95" customHeight="1"/>
    <row r="215" ht="54.95" customHeight="1"/>
    <row r="216" ht="54.95" customHeight="1"/>
    <row r="217" ht="54.95" customHeight="1"/>
    <row r="218" ht="54.95" customHeight="1"/>
    <row r="219" ht="54.95" customHeight="1"/>
    <row r="220" ht="54.95" customHeight="1"/>
    <row r="221" ht="54.95" customHeight="1"/>
    <row r="222" ht="54.95" customHeight="1"/>
    <row r="223" ht="54.95" customHeight="1"/>
    <row r="224" ht="54.95" customHeight="1"/>
    <row r="225" ht="54.95" customHeight="1"/>
    <row r="226" ht="54.95" customHeight="1"/>
    <row r="227" ht="54.95" customHeight="1"/>
    <row r="228" ht="54.95" customHeight="1"/>
    <row r="229" ht="54.95" customHeight="1"/>
    <row r="230" ht="54.95" customHeight="1"/>
    <row r="231" ht="54.95" customHeight="1"/>
    <row r="232" ht="54.95" customHeight="1"/>
    <row r="233" ht="54.95" customHeight="1"/>
    <row r="234" ht="54.95" customHeight="1"/>
    <row r="235" ht="54.95" customHeight="1"/>
    <row r="236" ht="54.95" customHeight="1"/>
    <row r="237" ht="54.95" customHeight="1"/>
    <row r="238" ht="54.95" customHeight="1"/>
    <row r="239" ht="54.95" customHeight="1"/>
    <row r="240" ht="54.95" customHeight="1"/>
    <row r="241" ht="54.95" customHeight="1"/>
    <row r="242" ht="54.95" customHeight="1"/>
    <row r="243" ht="54.95" customHeight="1"/>
    <row r="244" ht="54.95" customHeight="1"/>
    <row r="245" ht="54.95" customHeight="1"/>
    <row r="246" ht="54.95" customHeight="1"/>
    <row r="247" ht="54.95" customHeight="1"/>
    <row r="248" ht="54.95" customHeight="1"/>
    <row r="249" ht="54.95" customHeight="1"/>
    <row r="250" ht="54.95" customHeight="1"/>
    <row r="251" ht="54.95" customHeight="1"/>
    <row r="252" ht="54.95" customHeight="1"/>
    <row r="253" ht="54.95" customHeight="1"/>
    <row r="254" ht="54.95" customHeight="1"/>
    <row r="255" ht="54.95" customHeight="1"/>
    <row r="256" ht="54.95" customHeight="1"/>
    <row r="257" ht="54.95" customHeight="1"/>
    <row r="258" ht="54.95" customHeight="1"/>
    <row r="259" ht="54.95" customHeight="1"/>
    <row r="260" ht="54.95" customHeight="1"/>
    <row r="261" ht="54.95" customHeight="1"/>
    <row r="262" ht="54.95" customHeight="1"/>
    <row r="263" ht="54.95" customHeight="1"/>
    <row r="264" ht="54.95" customHeight="1"/>
    <row r="265" ht="54.95" customHeight="1"/>
    <row r="266" ht="54.95" customHeight="1"/>
    <row r="267" ht="54.95" customHeight="1"/>
    <row r="268" ht="54.95" customHeight="1"/>
    <row r="269" ht="54.95" customHeight="1"/>
    <row r="270" ht="54.95" customHeight="1"/>
    <row r="271" ht="54.95" customHeight="1"/>
    <row r="272" ht="54.95" customHeight="1"/>
    <row r="273" ht="54.95" customHeight="1"/>
    <row r="274" ht="54.95" customHeight="1"/>
    <row r="275" ht="54.95" customHeight="1"/>
    <row r="276" ht="54.95" customHeight="1"/>
    <row r="277" ht="54.95" customHeight="1"/>
    <row r="278" ht="54.95" customHeight="1"/>
    <row r="279" ht="54.95" customHeight="1"/>
    <row r="280" ht="54.95" customHeight="1"/>
    <row r="281" ht="54.95" customHeight="1"/>
    <row r="282" ht="54.95" customHeight="1"/>
    <row r="283" ht="54.95" customHeight="1"/>
    <row r="284" ht="54.95" customHeight="1"/>
    <row r="285" ht="54.95" customHeight="1"/>
    <row r="286" ht="54.95" customHeight="1"/>
  </sheetData>
  <mergeCells count="13">
    <mergeCell ref="A9:B9"/>
    <mergeCell ref="C9:K9"/>
    <mergeCell ref="A10:L10"/>
    <mergeCell ref="A1:M1"/>
    <mergeCell ref="B2:B3"/>
    <mergeCell ref="C2:C3"/>
    <mergeCell ref="D2:G2"/>
    <mergeCell ref="H2:H3"/>
    <mergeCell ref="I2:I3"/>
    <mergeCell ref="J2:J3"/>
    <mergeCell ref="K2:K3"/>
    <mergeCell ref="L2:L3"/>
    <mergeCell ref="M2:M3"/>
  </mergeCells>
  <pageMargins left="0.7" right="0.7" top="0.75" bottom="0.75" header="0.3" footer="0.3"/>
  <pageSetup paperSize="9" scale="71" orientation="portrait" r:id="rId1"/>
  <drawing r:id="rId2"/>
  <legacyDrawing r:id="rId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rightToLeft="1" workbookViewId="0">
      <selection sqref="A1:C1"/>
    </sheetView>
  </sheetViews>
  <sheetFormatPr defaultRowHeight="27"/>
  <cols>
    <col min="1" max="1" width="18.33203125" style="60" customWidth="1"/>
    <col min="2" max="2" width="126.6640625" style="60" customWidth="1"/>
    <col min="3" max="3" width="18.33203125" style="60" customWidth="1"/>
    <col min="4" max="16384" width="9.33203125" style="60"/>
  </cols>
  <sheetData>
    <row r="1" spans="1:3" ht="59.25" customHeight="1">
      <c r="A1" s="387" t="s">
        <v>618</v>
      </c>
      <c r="B1" s="387"/>
      <c r="C1" s="387"/>
    </row>
    <row r="2" spans="1:3" s="62" customFormat="1" ht="42" customHeight="1">
      <c r="A2" s="388"/>
      <c r="B2" s="61" t="str">
        <f>'[36]سیاست ها و برنامه ها '!A1</f>
        <v xml:space="preserve"> اهداف کلی 4: دسترسی كمي و كيفي  به بسته خدمات دامپزشکی</v>
      </c>
      <c r="C2" s="389"/>
    </row>
    <row r="3" spans="1:3" s="62" customFormat="1" ht="42" customHeight="1">
      <c r="A3" s="388"/>
      <c r="B3" s="63" t="s">
        <v>118</v>
      </c>
      <c r="C3" s="389"/>
    </row>
    <row r="4" spans="1:3" s="62" customFormat="1" ht="42" customHeight="1">
      <c r="A4" s="388"/>
      <c r="B4" s="64" t="str">
        <f>CONCATENATE([36]روکش!A1," ",[36]روکش!B1)</f>
        <v xml:space="preserve"> عنوان هدف کمی:  افزایش میزان دامداران دارای گواهی بهداشتی آموزشی،  افزایش میزان شاغلین دارای گواهی آموزش های بهداشتی صنایع مرتبط</v>
      </c>
      <c r="C4" s="389"/>
    </row>
    <row r="5" spans="1:3" s="62" customFormat="1" ht="42" customHeight="1">
      <c r="A5" s="388"/>
      <c r="B5" s="64" t="str">
        <f>CONCATENATE([36]روکش!A2,"  ",[36]روکش!B2,"     ",[36]روکش!C2,"  ",[36]روکش!D2)</f>
        <v>عنوان سنجه عملکرد:  ساعت/نفر     شاخص سنجه:  0.04</v>
      </c>
      <c r="C5" s="389"/>
    </row>
    <row r="6" spans="1:3" s="62" customFormat="1" ht="42" customHeight="1">
      <c r="A6" s="388"/>
      <c r="B6" s="64" t="s">
        <v>559</v>
      </c>
      <c r="C6" s="389"/>
    </row>
    <row r="7" spans="1:3" s="62" customFormat="1" ht="42" customHeight="1">
      <c r="A7" s="388"/>
      <c r="B7" s="64" t="s">
        <v>619</v>
      </c>
      <c r="C7" s="389"/>
    </row>
    <row r="8" spans="1:3" ht="42" customHeight="1">
      <c r="A8" s="388"/>
      <c r="B8" s="65" t="s">
        <v>620</v>
      </c>
      <c r="C8" s="389"/>
    </row>
    <row r="9" spans="1:3" s="66" customFormat="1" ht="42" customHeight="1">
      <c r="A9" s="388"/>
      <c r="B9" s="63" t="s">
        <v>621</v>
      </c>
      <c r="C9" s="389"/>
    </row>
    <row r="10" spans="1:3" s="68" customFormat="1" ht="42" customHeight="1">
      <c r="A10" s="388"/>
      <c r="B10" s="144" t="s">
        <v>622</v>
      </c>
      <c r="C10" s="389"/>
    </row>
    <row r="11" spans="1:3" ht="69.75" customHeight="1">
      <c r="A11" s="390"/>
      <c r="B11" s="390"/>
      <c r="C11" s="390"/>
    </row>
    <row r="12" spans="1:3" ht="22.5" customHeight="1"/>
    <row r="13" spans="1:3" ht="22.5" customHeight="1"/>
  </sheetData>
  <dataConsolidate/>
  <mergeCells count="4">
    <mergeCell ref="A1:C1"/>
    <mergeCell ref="A2:A10"/>
    <mergeCell ref="C2:C10"/>
    <mergeCell ref="A11:C11"/>
  </mergeCells>
  <pageMargins left="0.7" right="0.7" top="0.75" bottom="0.75" header="0.3" footer="0.3"/>
  <pageSetup paperSize="9" orientation="portrait" r:id="rId1"/>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5"/>
  <sheetViews>
    <sheetView showGridLines="0" rightToLeft="1" workbookViewId="0">
      <pane xSplit="7" topLeftCell="H1" activePane="topRight" state="frozen"/>
      <selection pane="topRight" activeCell="A6" sqref="A6:G6"/>
    </sheetView>
  </sheetViews>
  <sheetFormatPr defaultColWidth="25" defaultRowHeight="54.95" customHeight="1"/>
  <cols>
    <col min="1" max="1" width="13.6640625" style="147" customWidth="1"/>
    <col min="2" max="2" width="10.6640625" style="147" customWidth="1"/>
    <col min="3" max="3" width="49.83203125" style="147" customWidth="1"/>
    <col min="4" max="6" width="26.5" style="147" customWidth="1"/>
    <col min="7" max="8" width="10" style="147" customWidth="1"/>
    <col min="9" max="16384" width="25" style="147"/>
  </cols>
  <sheetData>
    <row r="1" spans="1:7" ht="33" customHeight="1">
      <c r="A1" s="450" t="s">
        <v>1206</v>
      </c>
      <c r="B1" s="450"/>
      <c r="C1" s="450"/>
      <c r="D1" s="450"/>
      <c r="E1" s="450"/>
      <c r="F1" s="450"/>
      <c r="G1" s="450"/>
    </row>
    <row r="2" spans="1:7" ht="33" customHeight="1">
      <c r="A2" s="450" t="s">
        <v>1207</v>
      </c>
      <c r="B2" s="450"/>
      <c r="C2" s="450"/>
      <c r="D2" s="450"/>
      <c r="E2" s="450"/>
      <c r="F2" s="450"/>
      <c r="G2" s="450"/>
    </row>
    <row r="3" spans="1:7" ht="54.95" customHeight="1">
      <c r="A3" s="405" t="s">
        <v>1208</v>
      </c>
      <c r="B3" s="405"/>
      <c r="C3" s="405"/>
      <c r="D3" s="405"/>
      <c r="E3" s="405"/>
      <c r="F3" s="405"/>
      <c r="G3" s="405"/>
    </row>
    <row r="4" spans="1:7" ht="33" customHeight="1">
      <c r="A4" s="450" t="s">
        <v>737</v>
      </c>
      <c r="B4" s="450"/>
      <c r="C4" s="450"/>
      <c r="D4" s="450"/>
      <c r="E4" s="450"/>
      <c r="F4" s="450"/>
      <c r="G4" s="450"/>
    </row>
    <row r="5" spans="1:7" ht="24.95" customHeight="1">
      <c r="A5" s="404" t="s">
        <v>1209</v>
      </c>
      <c r="B5" s="404"/>
      <c r="C5" s="404"/>
      <c r="D5" s="404"/>
      <c r="E5" s="404"/>
      <c r="F5" s="404"/>
      <c r="G5" s="404"/>
    </row>
    <row r="6" spans="1:7" ht="24.95" customHeight="1">
      <c r="A6" s="404" t="s">
        <v>1210</v>
      </c>
      <c r="B6" s="404"/>
      <c r="C6" s="404"/>
      <c r="D6" s="404"/>
      <c r="E6" s="404"/>
      <c r="F6" s="404"/>
      <c r="G6" s="404"/>
    </row>
    <row r="7" spans="1:7" ht="24.95" customHeight="1">
      <c r="A7" s="404" t="s">
        <v>1211</v>
      </c>
      <c r="B7" s="404"/>
      <c r="C7" s="404"/>
      <c r="D7" s="404"/>
      <c r="E7" s="404"/>
      <c r="F7" s="404"/>
      <c r="G7" s="404"/>
    </row>
    <row r="8" spans="1:7" ht="24.95" customHeight="1">
      <c r="A8" s="404" t="s">
        <v>1212</v>
      </c>
      <c r="B8" s="404"/>
      <c r="C8" s="404"/>
      <c r="D8" s="404"/>
      <c r="E8" s="404"/>
      <c r="F8" s="404"/>
      <c r="G8" s="404"/>
    </row>
    <row r="9" spans="1:7" ht="24.95" customHeight="1">
      <c r="A9" s="404" t="s">
        <v>1213</v>
      </c>
      <c r="B9" s="404"/>
      <c r="C9" s="404"/>
      <c r="D9" s="404"/>
      <c r="E9" s="404"/>
      <c r="F9" s="404"/>
      <c r="G9" s="404"/>
    </row>
    <row r="10" spans="1:7" ht="24.95" customHeight="1">
      <c r="A10" s="404" t="s">
        <v>1214</v>
      </c>
      <c r="B10" s="404"/>
      <c r="C10" s="404"/>
      <c r="D10" s="404"/>
      <c r="E10" s="404"/>
      <c r="F10" s="404"/>
      <c r="G10" s="404"/>
    </row>
    <row r="11" spans="1:7" ht="24.95" customHeight="1">
      <c r="A11" s="404" t="s">
        <v>1215</v>
      </c>
      <c r="B11" s="404"/>
      <c r="C11" s="404"/>
      <c r="D11" s="404"/>
      <c r="E11" s="404"/>
      <c r="F11" s="404"/>
      <c r="G11" s="404"/>
    </row>
    <row r="12" spans="1:7" ht="24.95" customHeight="1">
      <c r="A12" s="404" t="s">
        <v>1216</v>
      </c>
      <c r="B12" s="404"/>
      <c r="C12" s="404"/>
      <c r="D12" s="404"/>
      <c r="E12" s="404"/>
      <c r="F12" s="404"/>
      <c r="G12" s="404"/>
    </row>
    <row r="13" spans="1:7" s="146" customFormat="1" ht="47.25" customHeight="1">
      <c r="A13" s="408"/>
      <c r="B13" s="287" t="s">
        <v>0</v>
      </c>
      <c r="C13" s="223" t="s">
        <v>626</v>
      </c>
      <c r="D13" s="224" t="s">
        <v>758</v>
      </c>
      <c r="E13" s="224" t="s">
        <v>759</v>
      </c>
      <c r="F13" s="224" t="s">
        <v>760</v>
      </c>
      <c r="G13" s="409"/>
    </row>
    <row r="14" spans="1:7" s="146" customFormat="1" ht="56.25" customHeight="1">
      <c r="A14" s="408"/>
      <c r="B14" s="283" t="s">
        <v>1217</v>
      </c>
      <c r="C14" s="288" t="s">
        <v>1218</v>
      </c>
      <c r="D14" s="227" t="s">
        <v>1219</v>
      </c>
      <c r="E14" s="229">
        <v>500000</v>
      </c>
      <c r="F14" s="229">
        <v>650000</v>
      </c>
      <c r="G14" s="409"/>
    </row>
    <row r="15" spans="1:7" s="146" customFormat="1" ht="73.5" customHeight="1">
      <c r="A15" s="408"/>
      <c r="B15" s="283" t="s">
        <v>1220</v>
      </c>
      <c r="C15" s="288" t="s">
        <v>1221</v>
      </c>
      <c r="D15" s="227" t="s">
        <v>1219</v>
      </c>
      <c r="E15" s="229">
        <v>1500</v>
      </c>
      <c r="F15" s="229">
        <f>E15+(E15*60%)</f>
        <v>2400</v>
      </c>
      <c r="G15" s="409"/>
    </row>
    <row r="16" spans="1:7" s="146" customFormat="1" ht="73.5" customHeight="1">
      <c r="A16" s="408"/>
      <c r="B16" s="283" t="s">
        <v>1222</v>
      </c>
      <c r="C16" s="288" t="s">
        <v>1223</v>
      </c>
      <c r="D16" s="227" t="s">
        <v>1219</v>
      </c>
      <c r="E16" s="229">
        <v>1800</v>
      </c>
      <c r="F16" s="229">
        <f>E16+(E16*60%)</f>
        <v>2880</v>
      </c>
      <c r="G16" s="409"/>
    </row>
    <row r="17" spans="1:7" s="146" customFormat="1" ht="73.5" customHeight="1">
      <c r="A17" s="408"/>
      <c r="B17" s="283" t="s">
        <v>1224</v>
      </c>
      <c r="C17" s="227" t="s">
        <v>1225</v>
      </c>
      <c r="D17" s="227" t="s">
        <v>1219</v>
      </c>
      <c r="E17" s="229">
        <v>375</v>
      </c>
      <c r="F17" s="307">
        <f>(E17*60%)+E17</f>
        <v>600</v>
      </c>
      <c r="G17" s="409"/>
    </row>
    <row r="18" spans="1:7" s="146" customFormat="1" ht="73.5" customHeight="1">
      <c r="A18" s="408"/>
      <c r="B18" s="283" t="s">
        <v>1226</v>
      </c>
      <c r="C18" s="227" t="s">
        <v>1227</v>
      </c>
      <c r="D18" s="227" t="s">
        <v>1219</v>
      </c>
      <c r="E18" s="229">
        <v>0</v>
      </c>
      <c r="F18" s="307">
        <v>200</v>
      </c>
      <c r="G18" s="409"/>
    </row>
    <row r="19" spans="1:7" s="146" customFormat="1" ht="73.5" customHeight="1">
      <c r="A19" s="408"/>
      <c r="B19" s="283" t="s">
        <v>1228</v>
      </c>
      <c r="C19" s="288" t="s">
        <v>1229</v>
      </c>
      <c r="D19" s="227" t="s">
        <v>1219</v>
      </c>
      <c r="E19" s="229">
        <v>1800</v>
      </c>
      <c r="F19" s="307">
        <f>(E19*60%)+E19</f>
        <v>2880</v>
      </c>
      <c r="G19" s="409"/>
    </row>
    <row r="20" spans="1:7" s="146" customFormat="1" ht="73.5" customHeight="1">
      <c r="A20" s="408"/>
      <c r="B20" s="283" t="s">
        <v>1230</v>
      </c>
      <c r="C20" s="288" t="s">
        <v>1231</v>
      </c>
      <c r="D20" s="227" t="s">
        <v>1219</v>
      </c>
      <c r="E20" s="229">
        <v>500</v>
      </c>
      <c r="F20" s="307">
        <f>(E20*60%)+E20</f>
        <v>800</v>
      </c>
      <c r="G20" s="409"/>
    </row>
    <row r="21" spans="1:7" s="146" customFormat="1" ht="73.5" customHeight="1">
      <c r="A21" s="408"/>
      <c r="B21" s="283" t="s">
        <v>1232</v>
      </c>
      <c r="C21" s="288" t="s">
        <v>1233</v>
      </c>
      <c r="D21" s="227" t="s">
        <v>1219</v>
      </c>
      <c r="E21" s="229">
        <v>500</v>
      </c>
      <c r="F21" s="307">
        <f>(E21*60%)+E21</f>
        <v>800</v>
      </c>
      <c r="G21" s="409"/>
    </row>
    <row r="22" spans="1:7" ht="65.099999999999994" customHeight="1">
      <c r="A22" s="406"/>
      <c r="B22" s="406"/>
      <c r="C22" s="406"/>
      <c r="D22" s="406"/>
      <c r="E22" s="406"/>
      <c r="F22" s="406"/>
      <c r="G22" s="407"/>
    </row>
    <row r="94" spans="3:5" ht="54.95" customHeight="1">
      <c r="C94" s="147" t="s">
        <v>1234</v>
      </c>
      <c r="D94" s="147">
        <f>E14+E16+E18+E19+E20</f>
        <v>504100</v>
      </c>
      <c r="E94" s="147">
        <f>(D94/(D95+D94))*100</f>
        <v>99.531072609704324</v>
      </c>
    </row>
    <row r="95" spans="3:5" ht="54.95" customHeight="1">
      <c r="C95" s="147" t="s">
        <v>1235</v>
      </c>
      <c r="D95" s="147">
        <f>E15+E21+E17</f>
        <v>2375</v>
      </c>
      <c r="E95" s="147">
        <f>(D95/(D94+D95)*100)</f>
        <v>0.4689273902956711</v>
      </c>
    </row>
  </sheetData>
  <mergeCells count="15">
    <mergeCell ref="A22:G22"/>
    <mergeCell ref="A13:A21"/>
    <mergeCell ref="G13:G21"/>
    <mergeCell ref="A7:G7"/>
    <mergeCell ref="A8:G8"/>
    <mergeCell ref="A9:G9"/>
    <mergeCell ref="A10:G10"/>
    <mergeCell ref="A11:G11"/>
    <mergeCell ref="A12:G12"/>
    <mergeCell ref="A6:G6"/>
    <mergeCell ref="A1:G1"/>
    <mergeCell ref="A2:G2"/>
    <mergeCell ref="A3:G3"/>
    <mergeCell ref="A4:G4"/>
    <mergeCell ref="A5:G5"/>
  </mergeCells>
  <printOptions headings="1"/>
  <pageMargins left="0.7" right="0.7" top="0.75" bottom="0.75" header="0.3" footer="0.3"/>
  <pageSetup paperSize="9" scale="90" orientation="landscape" r:id="rId1"/>
  <rowBreaks count="1" manualBreakCount="1">
    <brk id="12" max="16383" man="1"/>
  </rowBreaks>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1"/>
  <sheetViews>
    <sheetView showGridLines="0" rightToLeft="1" workbookViewId="0">
      <pane xSplit="14" topLeftCell="O1" activePane="topRight" state="frozen"/>
      <selection activeCell="F12" sqref="F12"/>
      <selection pane="topRight" sqref="A1:N1"/>
    </sheetView>
  </sheetViews>
  <sheetFormatPr defaultColWidth="10.6640625" defaultRowHeight="35.1" customHeight="1"/>
  <cols>
    <col min="1" max="1" width="7.6640625" style="35" customWidth="1"/>
    <col min="2" max="2" width="27.5" style="35" customWidth="1"/>
    <col min="3" max="3" width="13.1640625" style="35" customWidth="1"/>
    <col min="4" max="4" width="13.1640625" style="52" customWidth="1"/>
    <col min="5" max="13" width="10.1640625" style="52" customWidth="1"/>
    <col min="14" max="14" width="10.6640625" style="53" customWidth="1"/>
    <col min="15" max="18" width="8.6640625" style="32" customWidth="1"/>
    <col min="19" max="19" width="8.6640625" style="33" customWidth="1"/>
    <col min="20" max="20" width="13.33203125" style="34" customWidth="1"/>
    <col min="21" max="21" width="10.6640625" style="33"/>
    <col min="22" max="16384" width="10.6640625" style="35"/>
  </cols>
  <sheetData>
    <row r="1" spans="1:21" ht="54.75" customHeight="1">
      <c r="A1" s="539" t="s">
        <v>119</v>
      </c>
      <c r="B1" s="429"/>
      <c r="C1" s="429"/>
      <c r="D1" s="429"/>
      <c r="E1" s="429"/>
      <c r="F1" s="429"/>
      <c r="G1" s="429"/>
      <c r="H1" s="429"/>
      <c r="I1" s="429"/>
      <c r="J1" s="429"/>
      <c r="K1" s="429"/>
      <c r="L1" s="429"/>
      <c r="M1" s="429"/>
      <c r="N1" s="429"/>
    </row>
    <row r="2" spans="1:21" s="38" customFormat="1" ht="25.5" customHeight="1">
      <c r="A2" s="374" t="s">
        <v>0</v>
      </c>
      <c r="B2" s="374" t="s">
        <v>11</v>
      </c>
      <c r="C2" s="374" t="s">
        <v>102</v>
      </c>
      <c r="D2" s="375" t="s">
        <v>103</v>
      </c>
      <c r="E2" s="375" t="s">
        <v>104</v>
      </c>
      <c r="F2" s="375"/>
      <c r="G2" s="375"/>
      <c r="H2" s="375"/>
      <c r="I2" s="375"/>
      <c r="J2" s="375" t="s">
        <v>105</v>
      </c>
      <c r="K2" s="375"/>
      <c r="L2" s="375"/>
      <c r="M2" s="375"/>
      <c r="N2" s="375"/>
      <c r="O2" s="32"/>
      <c r="P2" s="32"/>
      <c r="Q2" s="32"/>
      <c r="R2" s="32"/>
      <c r="S2" s="36"/>
      <c r="T2" s="37"/>
      <c r="U2" s="36"/>
    </row>
    <row r="3" spans="1:21" s="38" customFormat="1" ht="20.100000000000001" customHeight="1">
      <c r="A3" s="374"/>
      <c r="B3" s="374"/>
      <c r="C3" s="374"/>
      <c r="D3" s="375"/>
      <c r="E3" s="375" t="s">
        <v>106</v>
      </c>
      <c r="F3" s="375"/>
      <c r="G3" s="461">
        <v>1397</v>
      </c>
      <c r="H3" s="461">
        <v>1398</v>
      </c>
      <c r="I3" s="461">
        <v>1399</v>
      </c>
      <c r="J3" s="461">
        <v>1400</v>
      </c>
      <c r="K3" s="461">
        <v>1401</v>
      </c>
      <c r="L3" s="461">
        <v>1402</v>
      </c>
      <c r="M3" s="461">
        <v>1403</v>
      </c>
      <c r="N3" s="461">
        <v>1404</v>
      </c>
      <c r="O3" s="32"/>
      <c r="P3" s="32"/>
      <c r="Q3" s="32"/>
      <c r="R3" s="32"/>
      <c r="S3" s="36"/>
      <c r="T3" s="37"/>
      <c r="U3" s="36"/>
    </row>
    <row r="4" spans="1:21" s="87" customFormat="1" ht="23.25" customHeight="1">
      <c r="A4" s="374"/>
      <c r="B4" s="374"/>
      <c r="C4" s="374"/>
      <c r="D4" s="375"/>
      <c r="E4" s="289">
        <v>1395</v>
      </c>
      <c r="F4" s="289">
        <v>1396</v>
      </c>
      <c r="G4" s="461"/>
      <c r="H4" s="461"/>
      <c r="I4" s="461"/>
      <c r="J4" s="461"/>
      <c r="K4" s="461"/>
      <c r="L4" s="461"/>
      <c r="M4" s="461"/>
      <c r="N4" s="461"/>
      <c r="O4" s="83"/>
      <c r="P4" s="83"/>
      <c r="Q4" s="84"/>
      <c r="R4" s="83"/>
      <c r="S4" s="85"/>
      <c r="T4" s="86"/>
      <c r="U4" s="85"/>
    </row>
    <row r="5" spans="1:21" s="87" customFormat="1" ht="30" customHeight="1">
      <c r="A5" s="290">
        <v>1</v>
      </c>
      <c r="B5" s="205" t="s">
        <v>14</v>
      </c>
      <c r="C5" s="206">
        <f>($A$200+$B$200)*'[37]نرخ تسهیم'!O4</f>
        <v>2859.1106432051924</v>
      </c>
      <c r="D5" s="207">
        <f>C5*1.05</f>
        <v>3002.0661753654522</v>
      </c>
      <c r="E5" s="207">
        <f t="shared" ref="E5:N5" si="0">D5*1.05</f>
        <v>3152.1694841337248</v>
      </c>
      <c r="F5" s="207">
        <f t="shared" si="0"/>
        <v>3309.7779583404113</v>
      </c>
      <c r="G5" s="207">
        <f t="shared" si="0"/>
        <v>3475.2668562574318</v>
      </c>
      <c r="H5" s="207">
        <f t="shared" si="0"/>
        <v>3649.0301990703033</v>
      </c>
      <c r="I5" s="207">
        <f t="shared" si="0"/>
        <v>3831.4817090238184</v>
      </c>
      <c r="J5" s="207">
        <f t="shared" si="0"/>
        <v>4023.0557944750094</v>
      </c>
      <c r="K5" s="207">
        <f t="shared" si="0"/>
        <v>4224.20858419876</v>
      </c>
      <c r="L5" s="207">
        <f t="shared" si="0"/>
        <v>4435.4190134086984</v>
      </c>
      <c r="M5" s="207">
        <f t="shared" si="0"/>
        <v>4657.1899640791335</v>
      </c>
      <c r="N5" s="207">
        <f t="shared" si="0"/>
        <v>4890.0494622830902</v>
      </c>
      <c r="O5" s="83"/>
      <c r="P5" s="83"/>
      <c r="Q5" s="84"/>
      <c r="R5" s="84"/>
      <c r="S5" s="84"/>
      <c r="T5" s="86"/>
      <c r="U5" s="85"/>
    </row>
    <row r="6" spans="1:21" s="87" customFormat="1" ht="30" customHeight="1">
      <c r="A6" s="290">
        <v>2</v>
      </c>
      <c r="B6" s="205" t="s">
        <v>15</v>
      </c>
      <c r="C6" s="206">
        <f>($A$200+$B$200)*'[37]نرخ تسهیم'!O5</f>
        <v>4501.9688560210107</v>
      </c>
      <c r="D6" s="207">
        <f t="shared" ref="D6:N21" si="1">C6*1.05</f>
        <v>4727.0672988220613</v>
      </c>
      <c r="E6" s="207">
        <f t="shared" si="1"/>
        <v>4963.4206637631642</v>
      </c>
      <c r="F6" s="207">
        <f t="shared" si="1"/>
        <v>5211.5916969513228</v>
      </c>
      <c r="G6" s="207">
        <f t="shared" si="1"/>
        <v>5472.1712817988891</v>
      </c>
      <c r="H6" s="207">
        <f t="shared" si="1"/>
        <v>5745.7798458888337</v>
      </c>
      <c r="I6" s="207">
        <f t="shared" si="1"/>
        <v>6033.0688381832761</v>
      </c>
      <c r="J6" s="207">
        <f t="shared" si="1"/>
        <v>6334.7222800924401</v>
      </c>
      <c r="K6" s="207">
        <f t="shared" si="1"/>
        <v>6651.4583940970624</v>
      </c>
      <c r="L6" s="207">
        <f t="shared" si="1"/>
        <v>6984.0313138019155</v>
      </c>
      <c r="M6" s="207">
        <f t="shared" si="1"/>
        <v>7333.2328794920113</v>
      </c>
      <c r="N6" s="207">
        <f t="shared" si="1"/>
        <v>7699.8945234666126</v>
      </c>
      <c r="O6" s="83"/>
      <c r="P6" s="83"/>
      <c r="Q6" s="84"/>
      <c r="R6" s="84"/>
      <c r="S6" s="84"/>
      <c r="T6" s="86"/>
      <c r="U6" s="85"/>
    </row>
    <row r="7" spans="1:21" s="87" customFormat="1" ht="30" customHeight="1">
      <c r="A7" s="290">
        <v>3</v>
      </c>
      <c r="B7" s="205" t="s">
        <v>16</v>
      </c>
      <c r="C7" s="206">
        <f>($A$200+$B$200)*'[37]نرخ تسهیم'!O6</f>
        <v>1342.7269557477512</v>
      </c>
      <c r="D7" s="207">
        <f t="shared" si="1"/>
        <v>1409.8633035351388</v>
      </c>
      <c r="E7" s="207">
        <f t="shared" si="1"/>
        <v>1480.3564687118958</v>
      </c>
      <c r="F7" s="207">
        <f t="shared" si="1"/>
        <v>1554.3742921474907</v>
      </c>
      <c r="G7" s="207">
        <f t="shared" si="1"/>
        <v>1632.0930067548652</v>
      </c>
      <c r="H7" s="207">
        <f t="shared" si="1"/>
        <v>1713.6976570926086</v>
      </c>
      <c r="I7" s="207">
        <f t="shared" si="1"/>
        <v>1799.3825399472391</v>
      </c>
      <c r="J7" s="207">
        <f t="shared" si="1"/>
        <v>1889.3516669446012</v>
      </c>
      <c r="K7" s="207">
        <f t="shared" si="1"/>
        <v>1983.8192502918314</v>
      </c>
      <c r="L7" s="207">
        <f t="shared" si="1"/>
        <v>2083.0102128064232</v>
      </c>
      <c r="M7" s="207">
        <f t="shared" si="1"/>
        <v>2187.1607234467442</v>
      </c>
      <c r="N7" s="207">
        <f t="shared" si="1"/>
        <v>2296.5187596190817</v>
      </c>
      <c r="O7" s="83"/>
      <c r="P7" s="83"/>
      <c r="Q7" s="84"/>
      <c r="R7" s="84"/>
      <c r="S7" s="84"/>
      <c r="T7" s="86"/>
      <c r="U7" s="85"/>
    </row>
    <row r="8" spans="1:21" s="87" customFormat="1" ht="30" customHeight="1">
      <c r="A8" s="290">
        <v>4</v>
      </c>
      <c r="B8" s="205" t="s">
        <v>17</v>
      </c>
      <c r="C8" s="206">
        <f>($A$200+$B$200)*'[37]نرخ تسهیم'!O7</f>
        <v>3922.6762113743484</v>
      </c>
      <c r="D8" s="207">
        <f t="shared" si="1"/>
        <v>4118.8100219430662</v>
      </c>
      <c r="E8" s="207">
        <f t="shared" si="1"/>
        <v>4324.7505230402194</v>
      </c>
      <c r="F8" s="207">
        <f t="shared" si="1"/>
        <v>4540.9880491922304</v>
      </c>
      <c r="G8" s="207">
        <f t="shared" si="1"/>
        <v>4768.0374516518423</v>
      </c>
      <c r="H8" s="207">
        <f t="shared" si="1"/>
        <v>5006.4393242344349</v>
      </c>
      <c r="I8" s="207">
        <f t="shared" si="1"/>
        <v>5256.7612904461566</v>
      </c>
      <c r="J8" s="207">
        <f t="shared" si="1"/>
        <v>5519.5993549684645</v>
      </c>
      <c r="K8" s="207">
        <f t="shared" si="1"/>
        <v>5795.5793227168879</v>
      </c>
      <c r="L8" s="207">
        <f t="shared" si="1"/>
        <v>6085.3582888527326</v>
      </c>
      <c r="M8" s="207">
        <f t="shared" si="1"/>
        <v>6389.6262032953691</v>
      </c>
      <c r="N8" s="207">
        <f t="shared" si="1"/>
        <v>6709.1075134601379</v>
      </c>
      <c r="O8" s="83"/>
      <c r="P8" s="83"/>
      <c r="Q8" s="84"/>
      <c r="R8" s="84"/>
      <c r="S8" s="84"/>
      <c r="T8" s="86"/>
      <c r="U8" s="85"/>
    </row>
    <row r="9" spans="1:21" s="87" customFormat="1" ht="30" customHeight="1">
      <c r="A9" s="290">
        <v>5</v>
      </c>
      <c r="B9" s="205" t="s">
        <v>18</v>
      </c>
      <c r="C9" s="206">
        <f>($A$200+$B$200)*'[37]نرخ تسهیم'!O8</f>
        <v>1064.2208765907019</v>
      </c>
      <c r="D9" s="207">
        <f t="shared" si="1"/>
        <v>1117.431920420237</v>
      </c>
      <c r="E9" s="207">
        <f t="shared" si="1"/>
        <v>1173.303516441249</v>
      </c>
      <c r="F9" s="207">
        <f t="shared" si="1"/>
        <v>1231.9686922633116</v>
      </c>
      <c r="G9" s="207">
        <f t="shared" si="1"/>
        <v>1293.5671268764772</v>
      </c>
      <c r="H9" s="207">
        <f t="shared" si="1"/>
        <v>1358.2454832203011</v>
      </c>
      <c r="I9" s="207">
        <f t="shared" si="1"/>
        <v>1426.1577573813163</v>
      </c>
      <c r="J9" s="207">
        <f t="shared" si="1"/>
        <v>1497.4656452503821</v>
      </c>
      <c r="K9" s="207">
        <f t="shared" si="1"/>
        <v>1572.3389275129011</v>
      </c>
      <c r="L9" s="207">
        <f t="shared" si="1"/>
        <v>1650.9558738885462</v>
      </c>
      <c r="M9" s="207">
        <f t="shared" si="1"/>
        <v>1733.5036675829735</v>
      </c>
      <c r="N9" s="207">
        <f t="shared" si="1"/>
        <v>1820.1788509621224</v>
      </c>
      <c r="O9" s="83"/>
      <c r="P9" s="83"/>
      <c r="Q9" s="84"/>
      <c r="R9" s="84"/>
      <c r="S9" s="84"/>
      <c r="T9" s="86"/>
      <c r="U9" s="85"/>
    </row>
    <row r="10" spans="1:21" s="87" customFormat="1" ht="30" customHeight="1">
      <c r="A10" s="290">
        <v>6</v>
      </c>
      <c r="B10" s="205" t="s">
        <v>19</v>
      </c>
      <c r="C10" s="206">
        <f>($A$200+$B$200)*'[37]نرخ تسهیم'!O9</f>
        <v>570.11832674501886</v>
      </c>
      <c r="D10" s="207">
        <f t="shared" si="1"/>
        <v>598.6242430822698</v>
      </c>
      <c r="E10" s="207">
        <f t="shared" si="1"/>
        <v>628.5554552363833</v>
      </c>
      <c r="F10" s="207">
        <f t="shared" si="1"/>
        <v>659.98322799820244</v>
      </c>
      <c r="G10" s="207">
        <f t="shared" si="1"/>
        <v>692.98238939811256</v>
      </c>
      <c r="H10" s="207">
        <f t="shared" si="1"/>
        <v>727.63150886801827</v>
      </c>
      <c r="I10" s="207">
        <f t="shared" si="1"/>
        <v>764.01308431141922</v>
      </c>
      <c r="J10" s="207">
        <f t="shared" si="1"/>
        <v>802.21373852699026</v>
      </c>
      <c r="K10" s="207">
        <f t="shared" si="1"/>
        <v>842.32442545333981</v>
      </c>
      <c r="L10" s="207">
        <f t="shared" si="1"/>
        <v>884.44064672600689</v>
      </c>
      <c r="M10" s="207">
        <f t="shared" si="1"/>
        <v>928.66267906230723</v>
      </c>
      <c r="N10" s="207">
        <f t="shared" si="1"/>
        <v>975.09581301542266</v>
      </c>
      <c r="O10" s="83"/>
      <c r="P10" s="83"/>
      <c r="Q10" s="84"/>
      <c r="R10" s="84"/>
      <c r="S10" s="84"/>
      <c r="T10" s="86"/>
      <c r="U10" s="85"/>
    </row>
    <row r="11" spans="1:21" s="87" customFormat="1" ht="30" customHeight="1">
      <c r="A11" s="290">
        <v>7</v>
      </c>
      <c r="B11" s="205" t="s">
        <v>20</v>
      </c>
      <c r="C11" s="206">
        <f>($A$200+$B$200)*'[37]نرخ تسهیم'!O10</f>
        <v>340.10507078237328</v>
      </c>
      <c r="D11" s="207">
        <f t="shared" si="1"/>
        <v>357.11032432149193</v>
      </c>
      <c r="E11" s="207">
        <f t="shared" si="1"/>
        <v>374.96584053756652</v>
      </c>
      <c r="F11" s="207">
        <f t="shared" si="1"/>
        <v>393.71413256444487</v>
      </c>
      <c r="G11" s="207">
        <f t="shared" si="1"/>
        <v>413.39983919266712</v>
      </c>
      <c r="H11" s="207">
        <f t="shared" si="1"/>
        <v>434.06983115230048</v>
      </c>
      <c r="I11" s="207">
        <f t="shared" si="1"/>
        <v>455.77332270991553</v>
      </c>
      <c r="J11" s="207">
        <f t="shared" si="1"/>
        <v>478.56198884541135</v>
      </c>
      <c r="K11" s="207">
        <f t="shared" si="1"/>
        <v>502.49008828768194</v>
      </c>
      <c r="L11" s="207">
        <f t="shared" si="1"/>
        <v>527.61459270206603</v>
      </c>
      <c r="M11" s="207">
        <f t="shared" si="1"/>
        <v>553.99532233716934</v>
      </c>
      <c r="N11" s="207">
        <f t="shared" si="1"/>
        <v>581.69508845402788</v>
      </c>
      <c r="O11" s="83"/>
      <c r="P11" s="83"/>
      <c r="Q11" s="84"/>
      <c r="R11" s="84"/>
      <c r="S11" s="84"/>
      <c r="T11" s="86"/>
      <c r="U11" s="85"/>
    </row>
    <row r="12" spans="1:21" s="87" customFormat="1" ht="30" customHeight="1">
      <c r="A12" s="290">
        <v>8</v>
      </c>
      <c r="B12" s="205" t="s">
        <v>21</v>
      </c>
      <c r="C12" s="206">
        <f>($A$200+$B$200)*'[37]نرخ تسهیم'!O11</f>
        <v>5089.7805101477725</v>
      </c>
      <c r="D12" s="207">
        <f t="shared" si="1"/>
        <v>5344.2695356551612</v>
      </c>
      <c r="E12" s="207">
        <f t="shared" si="1"/>
        <v>5611.4830124379196</v>
      </c>
      <c r="F12" s="207">
        <f t="shared" si="1"/>
        <v>5892.057163059816</v>
      </c>
      <c r="G12" s="207">
        <f t="shared" si="1"/>
        <v>6186.6600212128069</v>
      </c>
      <c r="H12" s="207">
        <f t="shared" si="1"/>
        <v>6495.9930222734474</v>
      </c>
      <c r="I12" s="207">
        <f t="shared" si="1"/>
        <v>6820.79267338712</v>
      </c>
      <c r="J12" s="207">
        <f t="shared" si="1"/>
        <v>7161.8323070564766</v>
      </c>
      <c r="K12" s="207">
        <f t="shared" si="1"/>
        <v>7519.9239224093008</v>
      </c>
      <c r="L12" s="207">
        <f t="shared" si="1"/>
        <v>7895.9201185297661</v>
      </c>
      <c r="M12" s="207">
        <f t="shared" si="1"/>
        <v>8290.716124456254</v>
      </c>
      <c r="N12" s="207">
        <f t="shared" si="1"/>
        <v>8705.2519306790673</v>
      </c>
      <c r="O12" s="83"/>
      <c r="P12" s="83"/>
      <c r="Q12" s="84"/>
      <c r="R12" s="84"/>
      <c r="S12" s="84"/>
      <c r="T12" s="86"/>
      <c r="U12" s="85"/>
    </row>
    <row r="13" spans="1:21" s="87" customFormat="1" ht="30" customHeight="1">
      <c r="A13" s="290">
        <v>9</v>
      </c>
      <c r="B13" s="205" t="s">
        <v>22</v>
      </c>
      <c r="C13" s="206">
        <f>($A$200+$B$200)*'[37]نرخ تسهیم'!O12</f>
        <v>376.14703396740322</v>
      </c>
      <c r="D13" s="207">
        <f t="shared" si="1"/>
        <v>394.95438566577337</v>
      </c>
      <c r="E13" s="207">
        <f t="shared" si="1"/>
        <v>414.70210494906206</v>
      </c>
      <c r="F13" s="207">
        <f t="shared" si="1"/>
        <v>435.4372101965152</v>
      </c>
      <c r="G13" s="207">
        <f t="shared" si="1"/>
        <v>457.20907070634098</v>
      </c>
      <c r="H13" s="207">
        <f t="shared" si="1"/>
        <v>480.06952424165803</v>
      </c>
      <c r="I13" s="207">
        <f t="shared" si="1"/>
        <v>504.07300045374097</v>
      </c>
      <c r="J13" s="207">
        <f t="shared" si="1"/>
        <v>529.27665047642802</v>
      </c>
      <c r="K13" s="207">
        <f t="shared" si="1"/>
        <v>555.74048300024947</v>
      </c>
      <c r="L13" s="207">
        <f t="shared" si="1"/>
        <v>583.52750715026195</v>
      </c>
      <c r="M13" s="207">
        <f t="shared" si="1"/>
        <v>612.70388250777512</v>
      </c>
      <c r="N13" s="207">
        <f t="shared" si="1"/>
        <v>643.33907663316393</v>
      </c>
      <c r="O13" s="83"/>
      <c r="P13" s="83"/>
      <c r="Q13" s="84"/>
      <c r="R13" s="84"/>
      <c r="S13" s="84"/>
      <c r="T13" s="86"/>
      <c r="U13" s="85"/>
    </row>
    <row r="14" spans="1:21" s="87" customFormat="1" ht="30" customHeight="1">
      <c r="A14" s="290">
        <v>10</v>
      </c>
      <c r="B14" s="205" t="s">
        <v>23</v>
      </c>
      <c r="C14" s="206">
        <f>($A$200+$B$200)*'[37]نرخ تسهیم'!O13</f>
        <v>1009.8302776023839</v>
      </c>
      <c r="D14" s="207">
        <f t="shared" si="1"/>
        <v>1060.3217914825032</v>
      </c>
      <c r="E14" s="207">
        <f t="shared" si="1"/>
        <v>1113.3378810566285</v>
      </c>
      <c r="F14" s="207">
        <f t="shared" si="1"/>
        <v>1169.0047751094598</v>
      </c>
      <c r="G14" s="207">
        <f t="shared" si="1"/>
        <v>1227.4550138649329</v>
      </c>
      <c r="H14" s="207">
        <f t="shared" si="1"/>
        <v>1288.8277645581795</v>
      </c>
      <c r="I14" s="207">
        <f t="shared" si="1"/>
        <v>1353.2691527860886</v>
      </c>
      <c r="J14" s="207">
        <f t="shared" si="1"/>
        <v>1420.932610425393</v>
      </c>
      <c r="K14" s="207">
        <f t="shared" si="1"/>
        <v>1491.9792409466627</v>
      </c>
      <c r="L14" s="207">
        <f t="shared" si="1"/>
        <v>1566.5782029939958</v>
      </c>
      <c r="M14" s="207">
        <f t="shared" si="1"/>
        <v>1644.9071131436956</v>
      </c>
      <c r="N14" s="207">
        <f t="shared" si="1"/>
        <v>1727.1524688008803</v>
      </c>
      <c r="O14" s="83"/>
      <c r="P14" s="83"/>
      <c r="Q14" s="84"/>
      <c r="R14" s="84"/>
      <c r="S14" s="84"/>
      <c r="T14" s="86"/>
      <c r="U14" s="85"/>
    </row>
    <row r="15" spans="1:21" s="87" customFormat="1" ht="30" customHeight="1">
      <c r="A15" s="290">
        <v>11</v>
      </c>
      <c r="B15" s="205" t="s">
        <v>24</v>
      </c>
      <c r="C15" s="206">
        <f>($A$200+$B$200)*'[37]نرخ تسهیم'!O14</f>
        <v>478.37514772857901</v>
      </c>
      <c r="D15" s="207">
        <f t="shared" si="1"/>
        <v>502.29390511500799</v>
      </c>
      <c r="E15" s="207">
        <f t="shared" si="1"/>
        <v>527.40860037075845</v>
      </c>
      <c r="F15" s="207">
        <f t="shared" si="1"/>
        <v>553.77903038929639</v>
      </c>
      <c r="G15" s="207">
        <f t="shared" si="1"/>
        <v>581.4679819087612</v>
      </c>
      <c r="H15" s="207">
        <f t="shared" si="1"/>
        <v>610.54138100419925</v>
      </c>
      <c r="I15" s="207">
        <f t="shared" si="1"/>
        <v>641.06845005440925</v>
      </c>
      <c r="J15" s="207">
        <f t="shared" si="1"/>
        <v>673.12187255712979</v>
      </c>
      <c r="K15" s="207">
        <f t="shared" si="1"/>
        <v>706.77796618498633</v>
      </c>
      <c r="L15" s="207">
        <f t="shared" si="1"/>
        <v>742.11686449423564</v>
      </c>
      <c r="M15" s="207">
        <f t="shared" si="1"/>
        <v>779.2227077189475</v>
      </c>
      <c r="N15" s="207">
        <f t="shared" si="1"/>
        <v>818.18384310489489</v>
      </c>
      <c r="O15" s="83"/>
      <c r="P15" s="83"/>
      <c r="Q15" s="84"/>
      <c r="R15" s="84"/>
      <c r="S15" s="84"/>
      <c r="T15" s="86"/>
      <c r="U15" s="85"/>
    </row>
    <row r="16" spans="1:21" s="87" customFormat="1" ht="30" customHeight="1">
      <c r="A16" s="290">
        <v>12</v>
      </c>
      <c r="B16" s="205" t="s">
        <v>25</v>
      </c>
      <c r="C16" s="206">
        <f>($A$200+$B$200)*'[37]نرخ تسهیم'!O15</f>
        <v>3288.3376593178209</v>
      </c>
      <c r="D16" s="207">
        <f t="shared" si="1"/>
        <v>3452.754542283712</v>
      </c>
      <c r="E16" s="207">
        <f t="shared" si="1"/>
        <v>3625.392269397898</v>
      </c>
      <c r="F16" s="207">
        <f t="shared" si="1"/>
        <v>3806.6618828677929</v>
      </c>
      <c r="G16" s="207">
        <f t="shared" si="1"/>
        <v>3996.9949770111825</v>
      </c>
      <c r="H16" s="207">
        <f t="shared" si="1"/>
        <v>4196.8447258617416</v>
      </c>
      <c r="I16" s="207">
        <f t="shared" si="1"/>
        <v>4406.6869621548285</v>
      </c>
      <c r="J16" s="207">
        <f t="shared" si="1"/>
        <v>4627.0213102625703</v>
      </c>
      <c r="K16" s="207">
        <f t="shared" si="1"/>
        <v>4858.3723757756989</v>
      </c>
      <c r="L16" s="207">
        <f t="shared" si="1"/>
        <v>5101.2909945644842</v>
      </c>
      <c r="M16" s="207">
        <f t="shared" si="1"/>
        <v>5356.3555442927091</v>
      </c>
      <c r="N16" s="207">
        <f t="shared" si="1"/>
        <v>5624.1733215073446</v>
      </c>
      <c r="O16" s="83"/>
      <c r="P16" s="83"/>
      <c r="Q16" s="84"/>
      <c r="R16" s="84"/>
      <c r="S16" s="84"/>
      <c r="T16" s="86"/>
      <c r="U16" s="85"/>
    </row>
    <row r="17" spans="1:21" s="87" customFormat="1" ht="30" customHeight="1">
      <c r="A17" s="290">
        <v>13</v>
      </c>
      <c r="B17" s="205" t="s">
        <v>26</v>
      </c>
      <c r="C17" s="206">
        <f>($A$200+$B$200)*'[37]نرخ تسهیم'!O16</f>
        <v>431.19294137726718</v>
      </c>
      <c r="D17" s="207">
        <f t="shared" si="1"/>
        <v>452.75258844613057</v>
      </c>
      <c r="E17" s="207">
        <f t="shared" si="1"/>
        <v>475.39021786843711</v>
      </c>
      <c r="F17" s="207">
        <f t="shared" si="1"/>
        <v>499.15972876185896</v>
      </c>
      <c r="G17" s="207">
        <f t="shared" si="1"/>
        <v>524.11771519995193</v>
      </c>
      <c r="H17" s="207">
        <f t="shared" si="1"/>
        <v>550.32360095994954</v>
      </c>
      <c r="I17" s="207">
        <f t="shared" si="1"/>
        <v>577.83978100794707</v>
      </c>
      <c r="J17" s="207">
        <f t="shared" si="1"/>
        <v>606.73177005834441</v>
      </c>
      <c r="K17" s="207">
        <f t="shared" si="1"/>
        <v>637.06835856126168</v>
      </c>
      <c r="L17" s="207">
        <f t="shared" si="1"/>
        <v>668.92177648932477</v>
      </c>
      <c r="M17" s="207">
        <f t="shared" si="1"/>
        <v>702.36786531379107</v>
      </c>
      <c r="N17" s="207">
        <f t="shared" si="1"/>
        <v>737.4862585794807</v>
      </c>
      <c r="O17" s="83"/>
      <c r="P17" s="83"/>
      <c r="Q17" s="84"/>
      <c r="R17" s="84"/>
      <c r="S17" s="84"/>
      <c r="T17" s="86"/>
      <c r="U17" s="85"/>
    </row>
    <row r="18" spans="1:21" s="87" customFormat="1" ht="30" customHeight="1">
      <c r="A18" s="290">
        <v>14</v>
      </c>
      <c r="B18" s="205" t="s">
        <v>27</v>
      </c>
      <c r="C18" s="206">
        <f>($A$200+$B$200)*'[37]نرخ تسهیم'!O17</f>
        <v>2007.209695195394</v>
      </c>
      <c r="D18" s="207">
        <f t="shared" si="1"/>
        <v>2107.5701799551639</v>
      </c>
      <c r="E18" s="207">
        <f t="shared" si="1"/>
        <v>2212.9486889529221</v>
      </c>
      <c r="F18" s="207">
        <f t="shared" si="1"/>
        <v>2323.5961234005681</v>
      </c>
      <c r="G18" s="207">
        <f t="shared" si="1"/>
        <v>2439.7759295705964</v>
      </c>
      <c r="H18" s="207">
        <f t="shared" si="1"/>
        <v>2561.7647260491262</v>
      </c>
      <c r="I18" s="207">
        <f t="shared" si="1"/>
        <v>2689.8529623515828</v>
      </c>
      <c r="J18" s="207">
        <f t="shared" si="1"/>
        <v>2824.3456104691622</v>
      </c>
      <c r="K18" s="207">
        <f t="shared" si="1"/>
        <v>2965.5628909926204</v>
      </c>
      <c r="L18" s="207">
        <f t="shared" si="1"/>
        <v>3113.8410355422516</v>
      </c>
      <c r="M18" s="207">
        <f t="shared" si="1"/>
        <v>3269.5330873193643</v>
      </c>
      <c r="N18" s="207">
        <f t="shared" si="1"/>
        <v>3433.0097416853328</v>
      </c>
      <c r="O18" s="83"/>
      <c r="P18" s="83"/>
      <c r="Q18" s="84"/>
      <c r="R18" s="84"/>
      <c r="S18" s="84"/>
      <c r="T18" s="86"/>
      <c r="U18" s="85"/>
    </row>
    <row r="19" spans="1:21" s="87" customFormat="1" ht="30" customHeight="1">
      <c r="A19" s="290">
        <v>15</v>
      </c>
      <c r="B19" s="205" t="s">
        <v>28</v>
      </c>
      <c r="C19" s="206">
        <f>($A$200+$B$200)*'[37]نرخ تسهیم'!O18</f>
        <v>587.15634570521479</v>
      </c>
      <c r="D19" s="207">
        <f t="shared" si="1"/>
        <v>616.5141629904756</v>
      </c>
      <c r="E19" s="207">
        <f t="shared" si="1"/>
        <v>647.33987113999945</v>
      </c>
      <c r="F19" s="207">
        <f t="shared" si="1"/>
        <v>679.70686469699945</v>
      </c>
      <c r="G19" s="207">
        <f t="shared" si="1"/>
        <v>713.69220793184945</v>
      </c>
      <c r="H19" s="207">
        <f t="shared" si="1"/>
        <v>749.37681832844191</v>
      </c>
      <c r="I19" s="207">
        <f t="shared" si="1"/>
        <v>786.84565924486401</v>
      </c>
      <c r="J19" s="207">
        <f t="shared" si="1"/>
        <v>826.1879422071072</v>
      </c>
      <c r="K19" s="207">
        <f t="shared" si="1"/>
        <v>867.49733931746255</v>
      </c>
      <c r="L19" s="207">
        <f t="shared" si="1"/>
        <v>910.87220628333569</v>
      </c>
      <c r="M19" s="207">
        <f t="shared" si="1"/>
        <v>956.4158165975025</v>
      </c>
      <c r="N19" s="207">
        <f t="shared" si="1"/>
        <v>1004.2366074273776</v>
      </c>
      <c r="O19" s="83"/>
      <c r="P19" s="83"/>
      <c r="Q19" s="84"/>
      <c r="R19" s="84"/>
      <c r="S19" s="84"/>
      <c r="T19" s="86"/>
      <c r="U19" s="85"/>
    </row>
    <row r="20" spans="1:21" s="87" customFormat="1" ht="30" customHeight="1">
      <c r="A20" s="290">
        <v>16</v>
      </c>
      <c r="B20" s="205" t="s">
        <v>29</v>
      </c>
      <c r="C20" s="206">
        <f>($A$200+$B$200)*'[37]نرخ تسهیم'!O19</f>
        <v>774.57455426737056</v>
      </c>
      <c r="D20" s="207">
        <f t="shared" si="1"/>
        <v>813.30328198073914</v>
      </c>
      <c r="E20" s="207">
        <f t="shared" si="1"/>
        <v>853.96844607977619</v>
      </c>
      <c r="F20" s="207">
        <f t="shared" si="1"/>
        <v>896.66686838376506</v>
      </c>
      <c r="G20" s="207">
        <f t="shared" si="1"/>
        <v>941.50021180295334</v>
      </c>
      <c r="H20" s="207">
        <f t="shared" si="1"/>
        <v>988.57522239310106</v>
      </c>
      <c r="I20" s="207">
        <f t="shared" si="1"/>
        <v>1038.0039835127561</v>
      </c>
      <c r="J20" s="207">
        <f t="shared" si="1"/>
        <v>1089.904182688394</v>
      </c>
      <c r="K20" s="207">
        <f t="shared" si="1"/>
        <v>1144.3993918228139</v>
      </c>
      <c r="L20" s="207">
        <f t="shared" si="1"/>
        <v>1201.6193614139547</v>
      </c>
      <c r="M20" s="207">
        <f t="shared" si="1"/>
        <v>1261.7003294846525</v>
      </c>
      <c r="N20" s="207">
        <f t="shared" si="1"/>
        <v>1324.785345958885</v>
      </c>
      <c r="O20" s="83"/>
      <c r="P20" s="83"/>
      <c r="Q20" s="84"/>
      <c r="R20" s="84"/>
      <c r="S20" s="84"/>
      <c r="T20" s="86"/>
      <c r="U20" s="85"/>
    </row>
    <row r="21" spans="1:21" s="87" customFormat="1" ht="30" customHeight="1">
      <c r="A21" s="290">
        <v>17</v>
      </c>
      <c r="B21" s="205" t="s">
        <v>30</v>
      </c>
      <c r="C21" s="206">
        <f>($A$200+$B$200)*'[37]نرخ تسهیم'!O20</f>
        <v>509.82995196278699</v>
      </c>
      <c r="D21" s="207">
        <f t="shared" si="1"/>
        <v>535.32144956092634</v>
      </c>
      <c r="E21" s="207">
        <f t="shared" si="1"/>
        <v>562.08752203897268</v>
      </c>
      <c r="F21" s="207">
        <f t="shared" si="1"/>
        <v>590.19189814092135</v>
      </c>
      <c r="G21" s="207">
        <f t="shared" si="1"/>
        <v>619.70149304796746</v>
      </c>
      <c r="H21" s="207">
        <f t="shared" si="1"/>
        <v>650.68656770036591</v>
      </c>
      <c r="I21" s="207">
        <f t="shared" si="1"/>
        <v>683.2208960853842</v>
      </c>
      <c r="J21" s="207">
        <f t="shared" si="1"/>
        <v>717.38194088965349</v>
      </c>
      <c r="K21" s="207">
        <f t="shared" si="1"/>
        <v>753.25103793413621</v>
      </c>
      <c r="L21" s="207">
        <f t="shared" si="1"/>
        <v>790.91358983084308</v>
      </c>
      <c r="M21" s="207">
        <f t="shared" si="1"/>
        <v>830.45926932238524</v>
      </c>
      <c r="N21" s="207">
        <f t="shared" si="1"/>
        <v>871.98223278850458</v>
      </c>
      <c r="O21" s="83"/>
      <c r="P21" s="83"/>
      <c r="Q21" s="84"/>
      <c r="R21" s="84"/>
      <c r="S21" s="84"/>
      <c r="T21" s="86"/>
      <c r="U21" s="85"/>
    </row>
    <row r="22" spans="1:21" s="87" customFormat="1" ht="30" customHeight="1">
      <c r="A22" s="290">
        <v>18</v>
      </c>
      <c r="B22" s="205" t="s">
        <v>31</v>
      </c>
      <c r="C22" s="206">
        <f>($A$200+$B$200)*'[37]نرخ تسهیم'!O21</f>
        <v>3395.1529320298191</v>
      </c>
      <c r="D22" s="207">
        <f t="shared" ref="D22:N36" si="2">C22*1.05</f>
        <v>3564.9105786313103</v>
      </c>
      <c r="E22" s="207">
        <f t="shared" si="2"/>
        <v>3743.1561075628761</v>
      </c>
      <c r="F22" s="207">
        <f t="shared" si="2"/>
        <v>3930.3139129410201</v>
      </c>
      <c r="G22" s="207">
        <f t="shared" si="2"/>
        <v>4126.8296085880711</v>
      </c>
      <c r="H22" s="207">
        <f t="shared" si="2"/>
        <v>4333.1710890174745</v>
      </c>
      <c r="I22" s="207">
        <f t="shared" si="2"/>
        <v>4549.8296434683489</v>
      </c>
      <c r="J22" s="207">
        <f t="shared" si="2"/>
        <v>4777.3211256417662</v>
      </c>
      <c r="K22" s="207">
        <f t="shared" si="2"/>
        <v>5016.187181923855</v>
      </c>
      <c r="L22" s="207">
        <f t="shared" si="2"/>
        <v>5266.9965410200475</v>
      </c>
      <c r="M22" s="207">
        <f t="shared" si="2"/>
        <v>5530.3463680710502</v>
      </c>
      <c r="N22" s="207">
        <f t="shared" si="2"/>
        <v>5806.8636864746031</v>
      </c>
      <c r="O22" s="83"/>
      <c r="P22" s="83"/>
      <c r="Q22" s="84"/>
      <c r="R22" s="84"/>
      <c r="S22" s="84"/>
      <c r="T22" s="86"/>
      <c r="U22" s="85"/>
    </row>
    <row r="23" spans="1:21" s="87" customFormat="1" ht="30" customHeight="1">
      <c r="A23" s="290">
        <v>19</v>
      </c>
      <c r="B23" s="205" t="s">
        <v>32</v>
      </c>
      <c r="C23" s="206">
        <f>($A$200+$B$200)*'[37]نرخ تسهیم'!O22</f>
        <v>1283.0938893870655</v>
      </c>
      <c r="D23" s="207">
        <f t="shared" si="2"/>
        <v>1347.2485838564189</v>
      </c>
      <c r="E23" s="207">
        <f t="shared" si="2"/>
        <v>1414.61101304924</v>
      </c>
      <c r="F23" s="207">
        <f t="shared" si="2"/>
        <v>1485.3415637017022</v>
      </c>
      <c r="G23" s="207">
        <f t="shared" si="2"/>
        <v>1559.6086418867874</v>
      </c>
      <c r="H23" s="207">
        <f t="shared" si="2"/>
        <v>1637.5890739811268</v>
      </c>
      <c r="I23" s="207">
        <f t="shared" si="2"/>
        <v>1719.4685276801833</v>
      </c>
      <c r="J23" s="207">
        <f t="shared" si="2"/>
        <v>1805.4419540641925</v>
      </c>
      <c r="K23" s="207">
        <f t="shared" si="2"/>
        <v>1895.7140517674022</v>
      </c>
      <c r="L23" s="207">
        <f t="shared" si="2"/>
        <v>1990.4997543557724</v>
      </c>
      <c r="M23" s="207">
        <f t="shared" si="2"/>
        <v>2090.0247420735614</v>
      </c>
      <c r="N23" s="207">
        <f t="shared" si="2"/>
        <v>2194.5259791772396</v>
      </c>
      <c r="O23" s="83"/>
      <c r="P23" s="83"/>
      <c r="Q23" s="84"/>
      <c r="R23" s="84"/>
      <c r="S23" s="84"/>
      <c r="T23" s="86"/>
      <c r="U23" s="85"/>
    </row>
    <row r="24" spans="1:21" s="87" customFormat="1" ht="30" customHeight="1">
      <c r="A24" s="290">
        <v>20</v>
      </c>
      <c r="B24" s="205" t="s">
        <v>33</v>
      </c>
      <c r="C24" s="206">
        <f>($A$200+$B$200)*'[37]نرخ تسهیم'!O23</f>
        <v>538.66352251081094</v>
      </c>
      <c r="D24" s="207">
        <f t="shared" si="2"/>
        <v>565.59669863635156</v>
      </c>
      <c r="E24" s="207">
        <f t="shared" si="2"/>
        <v>593.87653356816918</v>
      </c>
      <c r="F24" s="207">
        <f t="shared" si="2"/>
        <v>623.57036024657771</v>
      </c>
      <c r="G24" s="207">
        <f t="shared" si="2"/>
        <v>654.74887825890664</v>
      </c>
      <c r="H24" s="207">
        <f t="shared" si="2"/>
        <v>687.48632217185195</v>
      </c>
      <c r="I24" s="207">
        <f t="shared" si="2"/>
        <v>721.86063828044462</v>
      </c>
      <c r="J24" s="207">
        <f t="shared" si="2"/>
        <v>757.95367019446689</v>
      </c>
      <c r="K24" s="207">
        <f t="shared" si="2"/>
        <v>795.85135370419027</v>
      </c>
      <c r="L24" s="207">
        <f t="shared" si="2"/>
        <v>835.64392138939979</v>
      </c>
      <c r="M24" s="207">
        <f t="shared" si="2"/>
        <v>877.42611745886984</v>
      </c>
      <c r="N24" s="207">
        <f t="shared" si="2"/>
        <v>921.29742333181332</v>
      </c>
      <c r="O24" s="83"/>
      <c r="P24" s="83"/>
      <c r="Q24" s="84"/>
      <c r="R24" s="84"/>
      <c r="S24" s="84"/>
      <c r="T24" s="86"/>
      <c r="U24" s="85"/>
    </row>
    <row r="25" spans="1:21" s="87" customFormat="1" ht="30" customHeight="1">
      <c r="A25" s="290">
        <v>21</v>
      </c>
      <c r="B25" s="205" t="s">
        <v>34</v>
      </c>
      <c r="C25" s="206">
        <f>($A$200+$B$200)*'[37]نرخ تسهیم'!O24</f>
        <v>1014.4174365532059</v>
      </c>
      <c r="D25" s="207">
        <f t="shared" si="2"/>
        <v>1065.1383083808662</v>
      </c>
      <c r="E25" s="207">
        <f t="shared" si="2"/>
        <v>1118.3952237999094</v>
      </c>
      <c r="F25" s="207">
        <f t="shared" si="2"/>
        <v>1174.314984989905</v>
      </c>
      <c r="G25" s="207">
        <f t="shared" si="2"/>
        <v>1233.0307342394003</v>
      </c>
      <c r="H25" s="207">
        <f t="shared" si="2"/>
        <v>1294.6822709513704</v>
      </c>
      <c r="I25" s="207">
        <f t="shared" si="2"/>
        <v>1359.4163844989389</v>
      </c>
      <c r="J25" s="207">
        <f t="shared" si="2"/>
        <v>1427.3872037238859</v>
      </c>
      <c r="K25" s="207">
        <f t="shared" si="2"/>
        <v>1498.7565639100803</v>
      </c>
      <c r="L25" s="207">
        <f t="shared" si="2"/>
        <v>1573.6943921055845</v>
      </c>
      <c r="M25" s="207">
        <f t="shared" si="2"/>
        <v>1652.3791117108638</v>
      </c>
      <c r="N25" s="207">
        <f t="shared" si="2"/>
        <v>1734.998067296407</v>
      </c>
      <c r="O25" s="83"/>
      <c r="P25" s="83"/>
      <c r="Q25" s="84"/>
      <c r="R25" s="84"/>
      <c r="S25" s="84"/>
      <c r="T25" s="86"/>
      <c r="U25" s="85"/>
    </row>
    <row r="26" spans="1:21" s="87" customFormat="1" ht="30" customHeight="1">
      <c r="A26" s="290">
        <v>22</v>
      </c>
      <c r="B26" s="205" t="s">
        <v>35</v>
      </c>
      <c r="C26" s="206">
        <f>($A$200+$B$200)*'[37]نرخ تسهیم'!O25</f>
        <v>1196.5931777429935</v>
      </c>
      <c r="D26" s="207">
        <f t="shared" si="2"/>
        <v>1256.4228366301431</v>
      </c>
      <c r="E26" s="207">
        <f t="shared" si="2"/>
        <v>1319.2439784616504</v>
      </c>
      <c r="F26" s="207">
        <f t="shared" si="2"/>
        <v>1385.2061773847329</v>
      </c>
      <c r="G26" s="207">
        <f t="shared" si="2"/>
        <v>1454.4664862539696</v>
      </c>
      <c r="H26" s="207">
        <f t="shared" si="2"/>
        <v>1527.1898105666683</v>
      </c>
      <c r="I26" s="207">
        <f t="shared" si="2"/>
        <v>1603.5493010950017</v>
      </c>
      <c r="J26" s="207">
        <f t="shared" si="2"/>
        <v>1683.7267661497519</v>
      </c>
      <c r="K26" s="207">
        <f t="shared" si="2"/>
        <v>1767.9131044572396</v>
      </c>
      <c r="L26" s="207">
        <f t="shared" si="2"/>
        <v>1856.3087596801017</v>
      </c>
      <c r="M26" s="207">
        <f t="shared" si="2"/>
        <v>1949.124197664107</v>
      </c>
      <c r="N26" s="207">
        <f t="shared" si="2"/>
        <v>2046.5804075473125</v>
      </c>
      <c r="O26" s="83"/>
      <c r="P26" s="83"/>
      <c r="Q26" s="84"/>
      <c r="R26" s="84"/>
      <c r="S26" s="84"/>
      <c r="T26" s="86"/>
      <c r="U26" s="85"/>
    </row>
    <row r="27" spans="1:21" s="87" customFormat="1" ht="30" customHeight="1">
      <c r="A27" s="290">
        <v>23</v>
      </c>
      <c r="B27" s="205" t="s">
        <v>36</v>
      </c>
      <c r="C27" s="206">
        <f>($A$200+$B$200)*'[37]نرخ تسهیم'!O26</f>
        <v>1184.7976261551655</v>
      </c>
      <c r="D27" s="207">
        <f t="shared" si="2"/>
        <v>1244.0375074629239</v>
      </c>
      <c r="E27" s="207">
        <f t="shared" si="2"/>
        <v>1306.2393828360703</v>
      </c>
      <c r="F27" s="207">
        <f t="shared" si="2"/>
        <v>1371.5513519778738</v>
      </c>
      <c r="G27" s="207">
        <f t="shared" si="2"/>
        <v>1440.1289195767674</v>
      </c>
      <c r="H27" s="207">
        <f t="shared" si="2"/>
        <v>1512.1353655556059</v>
      </c>
      <c r="I27" s="207">
        <f t="shared" si="2"/>
        <v>1587.7421338333861</v>
      </c>
      <c r="J27" s="207">
        <f t="shared" si="2"/>
        <v>1667.1292405250556</v>
      </c>
      <c r="K27" s="207">
        <f t="shared" si="2"/>
        <v>1750.4857025513083</v>
      </c>
      <c r="L27" s="207">
        <f t="shared" si="2"/>
        <v>1838.0099876788738</v>
      </c>
      <c r="M27" s="207">
        <f t="shared" si="2"/>
        <v>1929.9104870628175</v>
      </c>
      <c r="N27" s="207">
        <f t="shared" si="2"/>
        <v>2026.4060114159586</v>
      </c>
      <c r="O27" s="83"/>
      <c r="P27" s="83"/>
      <c r="Q27" s="84"/>
      <c r="R27" s="84"/>
      <c r="S27" s="84"/>
      <c r="T27" s="86"/>
      <c r="U27" s="85"/>
    </row>
    <row r="28" spans="1:21" s="87" customFormat="1" ht="30" customHeight="1">
      <c r="A28" s="290">
        <v>24</v>
      </c>
      <c r="B28" s="205" t="s">
        <v>37</v>
      </c>
      <c r="C28" s="206">
        <f>($A$200+$B$200)*'[37]نرخ تسهیم'!O27</f>
        <v>340.76037920391934</v>
      </c>
      <c r="D28" s="207">
        <f t="shared" si="2"/>
        <v>357.79839816411533</v>
      </c>
      <c r="E28" s="207">
        <f t="shared" si="2"/>
        <v>375.68831807232112</v>
      </c>
      <c r="F28" s="207">
        <f t="shared" si="2"/>
        <v>394.47273397593722</v>
      </c>
      <c r="G28" s="207">
        <f t="shared" si="2"/>
        <v>414.19637067473411</v>
      </c>
      <c r="H28" s="207">
        <f t="shared" si="2"/>
        <v>434.90618920847083</v>
      </c>
      <c r="I28" s="207">
        <f t="shared" si="2"/>
        <v>456.65149866889442</v>
      </c>
      <c r="J28" s="207">
        <f t="shared" si="2"/>
        <v>479.48407360233915</v>
      </c>
      <c r="K28" s="207">
        <f t="shared" si="2"/>
        <v>503.45827728245615</v>
      </c>
      <c r="L28" s="207">
        <f t="shared" si="2"/>
        <v>528.631191146579</v>
      </c>
      <c r="M28" s="207">
        <f t="shared" si="2"/>
        <v>555.06275070390802</v>
      </c>
      <c r="N28" s="207">
        <f t="shared" si="2"/>
        <v>582.8158882391034</v>
      </c>
      <c r="O28" s="83"/>
      <c r="P28" s="83"/>
      <c r="Q28" s="84"/>
      <c r="R28" s="84"/>
      <c r="S28" s="84"/>
      <c r="T28" s="86"/>
      <c r="U28" s="85"/>
    </row>
    <row r="29" spans="1:21" s="87" customFormat="1" ht="30" customHeight="1">
      <c r="A29" s="290">
        <v>25</v>
      </c>
      <c r="B29" s="205" t="s">
        <v>38</v>
      </c>
      <c r="C29" s="206">
        <f>($A$200+$B$200)*'[37]نرخ تسهیم'!O28</f>
        <v>1910.8793572281322</v>
      </c>
      <c r="D29" s="207">
        <f t="shared" si="2"/>
        <v>2006.4233250895388</v>
      </c>
      <c r="E29" s="207">
        <f t="shared" si="2"/>
        <v>2106.7444913440158</v>
      </c>
      <c r="F29" s="207">
        <f t="shared" si="2"/>
        <v>2212.0817159112166</v>
      </c>
      <c r="G29" s="207">
        <f t="shared" si="2"/>
        <v>2322.6858017067775</v>
      </c>
      <c r="H29" s="207">
        <f t="shared" si="2"/>
        <v>2438.8200917921163</v>
      </c>
      <c r="I29" s="207">
        <f t="shared" si="2"/>
        <v>2560.7610963817224</v>
      </c>
      <c r="J29" s="207">
        <f t="shared" si="2"/>
        <v>2688.7991512008084</v>
      </c>
      <c r="K29" s="207">
        <f t="shared" si="2"/>
        <v>2823.2391087608489</v>
      </c>
      <c r="L29" s="207">
        <f t="shared" si="2"/>
        <v>2964.4010641988916</v>
      </c>
      <c r="M29" s="207">
        <f t="shared" si="2"/>
        <v>3112.6211174088362</v>
      </c>
      <c r="N29" s="207">
        <f t="shared" si="2"/>
        <v>3268.2521732792779</v>
      </c>
      <c r="O29" s="83"/>
      <c r="P29" s="83"/>
      <c r="Q29" s="84"/>
      <c r="R29" s="84"/>
      <c r="S29" s="84"/>
      <c r="T29" s="86"/>
      <c r="U29" s="85"/>
    </row>
    <row r="30" spans="1:21" s="87" customFormat="1" ht="30" customHeight="1">
      <c r="A30" s="290">
        <v>26</v>
      </c>
      <c r="B30" s="205" t="s">
        <v>39</v>
      </c>
      <c r="C30" s="206">
        <f>($A$200+$B$200)*'[37]نرخ تسهیم'!O29</f>
        <v>1657.2749980898309</v>
      </c>
      <c r="D30" s="207">
        <f t="shared" si="2"/>
        <v>1740.1387479943226</v>
      </c>
      <c r="E30" s="207">
        <f t="shared" si="2"/>
        <v>1827.1456853940388</v>
      </c>
      <c r="F30" s="207">
        <f t="shared" si="2"/>
        <v>1918.5029696637407</v>
      </c>
      <c r="G30" s="207">
        <f t="shared" si="2"/>
        <v>2014.4281181469278</v>
      </c>
      <c r="H30" s="207">
        <f t="shared" si="2"/>
        <v>2115.149524054274</v>
      </c>
      <c r="I30" s="207">
        <f t="shared" si="2"/>
        <v>2220.9070002569879</v>
      </c>
      <c r="J30" s="207">
        <f t="shared" si="2"/>
        <v>2331.9523502698376</v>
      </c>
      <c r="K30" s="207">
        <f t="shared" si="2"/>
        <v>2448.5499677833295</v>
      </c>
      <c r="L30" s="207">
        <f t="shared" si="2"/>
        <v>2570.977466172496</v>
      </c>
      <c r="M30" s="207">
        <f t="shared" si="2"/>
        <v>2699.5263394811209</v>
      </c>
      <c r="N30" s="207">
        <f t="shared" si="2"/>
        <v>2834.5026564551772</v>
      </c>
      <c r="O30" s="83"/>
      <c r="P30" s="83"/>
      <c r="Q30" s="84"/>
      <c r="R30" s="84"/>
      <c r="S30" s="84"/>
      <c r="T30" s="86"/>
      <c r="U30" s="85"/>
    </row>
    <row r="31" spans="1:21" s="87" customFormat="1" ht="30" customHeight="1">
      <c r="A31" s="290">
        <v>27</v>
      </c>
      <c r="B31" s="205" t="s">
        <v>40</v>
      </c>
      <c r="C31" s="206">
        <f>($A$200+$B$200)*'[37]نرخ تسهیم'!O30</f>
        <v>1028.1789134056717</v>
      </c>
      <c r="D31" s="207">
        <f t="shared" si="2"/>
        <v>1079.5878590759553</v>
      </c>
      <c r="E31" s="207">
        <f t="shared" si="2"/>
        <v>1133.567252029753</v>
      </c>
      <c r="F31" s="207">
        <f t="shared" si="2"/>
        <v>1190.2456146312406</v>
      </c>
      <c r="G31" s="207">
        <f t="shared" si="2"/>
        <v>1249.7578953628026</v>
      </c>
      <c r="H31" s="207">
        <f t="shared" si="2"/>
        <v>1312.2457901309429</v>
      </c>
      <c r="I31" s="207">
        <f t="shared" si="2"/>
        <v>1377.8580796374902</v>
      </c>
      <c r="J31" s="207">
        <f t="shared" si="2"/>
        <v>1446.7509836193647</v>
      </c>
      <c r="K31" s="207">
        <f t="shared" si="2"/>
        <v>1519.088532800333</v>
      </c>
      <c r="L31" s="207">
        <f t="shared" si="2"/>
        <v>1595.0429594403497</v>
      </c>
      <c r="M31" s="207">
        <f t="shared" si="2"/>
        <v>1674.7951074123673</v>
      </c>
      <c r="N31" s="207">
        <f t="shared" si="2"/>
        <v>1758.5348627829858</v>
      </c>
      <c r="O31" s="83"/>
      <c r="P31" s="83"/>
      <c r="Q31" s="84"/>
      <c r="R31" s="84"/>
      <c r="S31" s="84"/>
      <c r="T31" s="86"/>
      <c r="U31" s="85"/>
    </row>
    <row r="32" spans="1:21" s="87" customFormat="1" ht="30" customHeight="1">
      <c r="A32" s="290">
        <v>28</v>
      </c>
      <c r="B32" s="205" t="s">
        <v>41</v>
      </c>
      <c r="C32" s="206">
        <f>($A$200+$B$200)*'[37]نرخ تسهیم'!O31</f>
        <v>3640.8935901095688</v>
      </c>
      <c r="D32" s="207">
        <f t="shared" si="2"/>
        <v>3822.9382696150474</v>
      </c>
      <c r="E32" s="207">
        <f t="shared" si="2"/>
        <v>4014.0851830957999</v>
      </c>
      <c r="F32" s="207">
        <f t="shared" si="2"/>
        <v>4214.7894422505897</v>
      </c>
      <c r="G32" s="207">
        <f t="shared" si="2"/>
        <v>4425.5289143631189</v>
      </c>
      <c r="H32" s="207">
        <f t="shared" si="2"/>
        <v>4646.8053600812755</v>
      </c>
      <c r="I32" s="207">
        <f t="shared" si="2"/>
        <v>4879.145628085339</v>
      </c>
      <c r="J32" s="207">
        <f t="shared" si="2"/>
        <v>5123.1029094896057</v>
      </c>
      <c r="K32" s="207">
        <f t="shared" si="2"/>
        <v>5379.2580549640861</v>
      </c>
      <c r="L32" s="207">
        <f t="shared" si="2"/>
        <v>5648.2209577122903</v>
      </c>
      <c r="M32" s="207">
        <f t="shared" si="2"/>
        <v>5930.6320055979049</v>
      </c>
      <c r="N32" s="207">
        <f t="shared" si="2"/>
        <v>6227.1636058778004</v>
      </c>
      <c r="O32" s="83"/>
      <c r="P32" s="83"/>
      <c r="Q32" s="84"/>
      <c r="R32" s="84"/>
      <c r="S32" s="84"/>
      <c r="T32" s="86"/>
      <c r="U32" s="85"/>
    </row>
    <row r="33" spans="1:21" s="87" customFormat="1" ht="30" customHeight="1">
      <c r="A33" s="290">
        <v>29</v>
      </c>
      <c r="B33" s="205" t="s">
        <v>42</v>
      </c>
      <c r="C33" s="206">
        <f>($A$200+$B$200)*'[37]نرخ تسهیم'!O32</f>
        <v>1059.6337176398799</v>
      </c>
      <c r="D33" s="207">
        <f t="shared" si="2"/>
        <v>1112.615403521874</v>
      </c>
      <c r="E33" s="207">
        <f t="shared" si="2"/>
        <v>1168.2461736979678</v>
      </c>
      <c r="F33" s="207">
        <f t="shared" si="2"/>
        <v>1226.6584823828662</v>
      </c>
      <c r="G33" s="207">
        <f t="shared" si="2"/>
        <v>1287.9914065020096</v>
      </c>
      <c r="H33" s="207">
        <f t="shared" si="2"/>
        <v>1352.3909768271101</v>
      </c>
      <c r="I33" s="207">
        <f t="shared" si="2"/>
        <v>1420.0105256684656</v>
      </c>
      <c r="J33" s="207">
        <f t="shared" si="2"/>
        <v>1491.0110519518889</v>
      </c>
      <c r="K33" s="207">
        <f t="shared" si="2"/>
        <v>1565.5616045494835</v>
      </c>
      <c r="L33" s="207">
        <f t="shared" si="2"/>
        <v>1643.8396847769577</v>
      </c>
      <c r="M33" s="207">
        <f t="shared" si="2"/>
        <v>1726.0316690158056</v>
      </c>
      <c r="N33" s="207">
        <f t="shared" si="2"/>
        <v>1812.3332524665959</v>
      </c>
      <c r="O33" s="83"/>
      <c r="P33" s="83"/>
      <c r="Q33" s="84"/>
      <c r="R33" s="84"/>
      <c r="S33" s="84"/>
      <c r="T33" s="86"/>
      <c r="U33" s="85"/>
    </row>
    <row r="34" spans="1:21" s="87" customFormat="1" ht="30" customHeight="1">
      <c r="A34" s="290">
        <v>30</v>
      </c>
      <c r="B34" s="205" t="s">
        <v>43</v>
      </c>
      <c r="C34" s="206">
        <f>($A$200+$B$200)*'[37]نرخ تسهیم'!O33</f>
        <v>286.36978021560139</v>
      </c>
      <c r="D34" s="207">
        <f t="shared" si="2"/>
        <v>300.68826922638146</v>
      </c>
      <c r="E34" s="207">
        <f t="shared" si="2"/>
        <v>315.72268268770057</v>
      </c>
      <c r="F34" s="207">
        <f t="shared" si="2"/>
        <v>331.50881682208563</v>
      </c>
      <c r="G34" s="207">
        <f t="shared" si="2"/>
        <v>348.08425766318993</v>
      </c>
      <c r="H34" s="207">
        <f t="shared" si="2"/>
        <v>365.48847054634945</v>
      </c>
      <c r="I34" s="207">
        <f t="shared" si="2"/>
        <v>383.76289407366693</v>
      </c>
      <c r="J34" s="207">
        <f t="shared" si="2"/>
        <v>402.95103877735028</v>
      </c>
      <c r="K34" s="207">
        <f t="shared" si="2"/>
        <v>423.09859071621781</v>
      </c>
      <c r="L34" s="207">
        <f t="shared" si="2"/>
        <v>444.25352025202875</v>
      </c>
      <c r="M34" s="207">
        <f t="shared" si="2"/>
        <v>466.46619626463018</v>
      </c>
      <c r="N34" s="207">
        <f t="shared" si="2"/>
        <v>489.78950607786169</v>
      </c>
      <c r="O34" s="83"/>
      <c r="P34" s="83"/>
      <c r="Q34" s="84"/>
      <c r="R34" s="84"/>
      <c r="S34" s="84"/>
      <c r="T34" s="86"/>
      <c r="U34" s="85"/>
    </row>
    <row r="35" spans="1:21" s="87" customFormat="1" ht="30" customHeight="1">
      <c r="A35" s="290">
        <v>31</v>
      </c>
      <c r="B35" s="205" t="s">
        <v>44</v>
      </c>
      <c r="C35" s="206">
        <f>($A$200+$B$200)*'[37]نرخ تسهیم'!O34</f>
        <v>984.92855758363612</v>
      </c>
      <c r="D35" s="207">
        <f t="shared" si="2"/>
        <v>1034.1749854628179</v>
      </c>
      <c r="E35" s="207">
        <f t="shared" si="2"/>
        <v>1085.8837347359588</v>
      </c>
      <c r="F35" s="207">
        <f t="shared" si="2"/>
        <v>1140.1779214727567</v>
      </c>
      <c r="G35" s="207">
        <f t="shared" si="2"/>
        <v>1197.1868175463946</v>
      </c>
      <c r="H35" s="207">
        <f t="shared" si="2"/>
        <v>1257.0461584237144</v>
      </c>
      <c r="I35" s="207">
        <f t="shared" si="2"/>
        <v>1319.8984663449</v>
      </c>
      <c r="J35" s="207">
        <f t="shared" si="2"/>
        <v>1385.8933896621452</v>
      </c>
      <c r="K35" s="207">
        <f t="shared" si="2"/>
        <v>1455.1880591452525</v>
      </c>
      <c r="L35" s="207">
        <f t="shared" si="2"/>
        <v>1527.9474621025151</v>
      </c>
      <c r="M35" s="207">
        <f t="shared" si="2"/>
        <v>1604.3448352076409</v>
      </c>
      <c r="N35" s="207">
        <f t="shared" si="2"/>
        <v>1684.5620769680231</v>
      </c>
      <c r="O35" s="83"/>
      <c r="P35" s="83"/>
      <c r="Q35" s="84"/>
      <c r="R35" s="84"/>
      <c r="S35" s="84"/>
      <c r="T35" s="86"/>
      <c r="U35" s="85"/>
    </row>
    <row r="36" spans="1:21" s="87" customFormat="1" ht="30" customHeight="1">
      <c r="A36" s="290">
        <v>32</v>
      </c>
      <c r="B36" s="205" t="s">
        <v>45</v>
      </c>
      <c r="C36" s="206">
        <f>($A$200+$B$200)*'[37]نرخ تسهیم'!O35</f>
        <v>726.08173107296659</v>
      </c>
      <c r="D36" s="207">
        <f t="shared" si="2"/>
        <v>762.38581762661499</v>
      </c>
      <c r="E36" s="207">
        <f t="shared" si="2"/>
        <v>800.50510850794581</v>
      </c>
      <c r="F36" s="207">
        <f t="shared" si="2"/>
        <v>840.5303639333431</v>
      </c>
      <c r="G36" s="207">
        <f t="shared" si="2"/>
        <v>882.55688213001031</v>
      </c>
      <c r="H36" s="207">
        <f t="shared" si="2"/>
        <v>926.68472623651087</v>
      </c>
      <c r="I36" s="207">
        <f t="shared" si="2"/>
        <v>973.0189625483365</v>
      </c>
      <c r="J36" s="207">
        <f t="shared" si="2"/>
        <v>1021.6699106757534</v>
      </c>
      <c r="K36" s="207">
        <f t="shared" si="2"/>
        <v>1072.753406209541</v>
      </c>
      <c r="L36" s="207">
        <f t="shared" si="2"/>
        <v>1126.391076520018</v>
      </c>
      <c r="M36" s="207">
        <f t="shared" si="2"/>
        <v>1182.7106303460189</v>
      </c>
      <c r="N36" s="207">
        <f t="shared" si="2"/>
        <v>1241.8461618633198</v>
      </c>
      <c r="O36" s="83"/>
      <c r="P36" s="83"/>
      <c r="Q36" s="84"/>
      <c r="R36" s="84"/>
      <c r="S36" s="84"/>
      <c r="T36" s="86"/>
      <c r="U36" s="85"/>
    </row>
    <row r="37" spans="1:21" s="90" customFormat="1" ht="30" customHeight="1">
      <c r="A37" s="464" t="s">
        <v>107</v>
      </c>
      <c r="B37" s="464"/>
      <c r="C37" s="206">
        <f t="shared" ref="C37:N37" si="3">SUM(C5:C36)</f>
        <v>49401.080666666669</v>
      </c>
      <c r="D37" s="206">
        <f t="shared" si="3"/>
        <v>51871.134699999988</v>
      </c>
      <c r="E37" s="206">
        <f t="shared" si="3"/>
        <v>54464.691434999993</v>
      </c>
      <c r="F37" s="206">
        <f t="shared" si="3"/>
        <v>57187.92600675</v>
      </c>
      <c r="G37" s="206">
        <f t="shared" si="3"/>
        <v>60047.322307087503</v>
      </c>
      <c r="H37" s="206">
        <f t="shared" si="3"/>
        <v>63049.688422441883</v>
      </c>
      <c r="I37" s="206">
        <f t="shared" si="3"/>
        <v>66202.172843563967</v>
      </c>
      <c r="J37" s="206">
        <f t="shared" si="3"/>
        <v>69512.281485742162</v>
      </c>
      <c r="K37" s="206">
        <f t="shared" si="3"/>
        <v>72987.895560029283</v>
      </c>
      <c r="L37" s="206">
        <f t="shared" si="3"/>
        <v>76637.29033803074</v>
      </c>
      <c r="M37" s="206">
        <f t="shared" si="3"/>
        <v>80469.154854932291</v>
      </c>
      <c r="N37" s="206">
        <f t="shared" si="3"/>
        <v>84492.612597678904</v>
      </c>
      <c r="O37" s="83"/>
      <c r="P37" s="83"/>
      <c r="Q37" s="84"/>
      <c r="R37" s="84"/>
      <c r="S37" s="84"/>
      <c r="T37" s="88"/>
      <c r="U37" s="89"/>
    </row>
    <row r="199" spans="1:20" s="33" customFormat="1" ht="35.1" customHeight="1">
      <c r="D199" s="80"/>
      <c r="E199" s="80"/>
      <c r="F199" s="80"/>
      <c r="G199" s="80"/>
      <c r="H199" s="80"/>
      <c r="I199" s="80"/>
      <c r="J199" s="80"/>
      <c r="K199" s="80"/>
      <c r="L199" s="80"/>
      <c r="M199" s="80"/>
      <c r="N199" s="81"/>
      <c r="O199" s="32"/>
      <c r="P199" s="32"/>
      <c r="Q199" s="32"/>
      <c r="R199" s="32"/>
      <c r="T199" s="34"/>
    </row>
    <row r="200" spans="1:20" s="47" customFormat="1" ht="35.1" hidden="1" customHeight="1">
      <c r="A200" s="47">
        <f>'[37]عملیات-فعالیت ها '!$L$35</f>
        <v>49401.080666666669</v>
      </c>
      <c r="B200" s="47">
        <f>'[37]عملیات-فعالیت ها '!M35</f>
        <v>0</v>
      </c>
      <c r="C200" s="47">
        <v>0</v>
      </c>
      <c r="D200" s="48">
        <v>0</v>
      </c>
      <c r="E200" s="48">
        <v>100</v>
      </c>
      <c r="F200" s="48">
        <v>171</v>
      </c>
      <c r="G200" s="48">
        <v>292.40999999999997</v>
      </c>
      <c r="H200" s="48">
        <v>500.02109999999993</v>
      </c>
      <c r="I200" s="48"/>
      <c r="J200" s="48"/>
      <c r="K200" s="48"/>
      <c r="L200" s="48"/>
      <c r="M200" s="48"/>
      <c r="N200" s="49"/>
      <c r="O200" s="50"/>
      <c r="P200" s="50"/>
      <c r="Q200" s="50"/>
      <c r="R200" s="50"/>
      <c r="T200" s="51"/>
    </row>
    <row r="201" spans="1:20" s="33" customFormat="1" ht="35.1" customHeight="1">
      <c r="D201" s="80"/>
      <c r="E201" s="80"/>
      <c r="F201" s="80"/>
      <c r="G201" s="80"/>
      <c r="H201" s="80"/>
      <c r="I201" s="80"/>
      <c r="J201" s="80"/>
      <c r="K201" s="80"/>
      <c r="L201" s="80"/>
      <c r="M201" s="80"/>
      <c r="N201" s="81"/>
      <c r="O201" s="32"/>
      <c r="P201" s="32"/>
      <c r="Q201" s="32"/>
      <c r="R201" s="32"/>
      <c r="T201" s="34"/>
    </row>
  </sheetData>
  <mergeCells count="17">
    <mergeCell ref="A37:B37"/>
    <mergeCell ref="I3:I4"/>
    <mergeCell ref="J3:J4"/>
    <mergeCell ref="K3:K4"/>
    <mergeCell ref="L3:L4"/>
    <mergeCell ref="M3:M4"/>
    <mergeCell ref="N3:N4"/>
    <mergeCell ref="A1:N1"/>
    <mergeCell ref="A2:A4"/>
    <mergeCell ref="B2:B4"/>
    <mergeCell ref="C2:C4"/>
    <mergeCell ref="D2:D4"/>
    <mergeCell ref="E2:I2"/>
    <mergeCell ref="J2:N2"/>
    <mergeCell ref="E3:F3"/>
    <mergeCell ref="G3:G4"/>
    <mergeCell ref="H3:H4"/>
  </mergeCells>
  <pageMargins left="0.7" right="0.7" top="0.75" bottom="0.75" header="0.3" footer="0.3"/>
  <pageSetup paperSize="9" orientation="portrait" r:id="rId1"/>
  <drawing r:id="rId2"/>
</worksheet>
</file>

<file path=xl/worksheets/sheet6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316"/>
  <sheetViews>
    <sheetView showGridLines="0" rightToLeft="1" workbookViewId="0">
      <pane xSplit="24" topLeftCell="Y1" activePane="topRight" state="frozen"/>
      <selection pane="topRight" activeCell="L32" sqref="L32"/>
    </sheetView>
  </sheetViews>
  <sheetFormatPr defaultColWidth="28.6640625" defaultRowHeight="5.65" customHeight="1"/>
  <cols>
    <col min="1" max="1" width="9.33203125" style="3" customWidth="1"/>
    <col min="2" max="2" width="55.5" style="3" customWidth="1"/>
    <col min="3" max="3" width="9" style="125" customWidth="1"/>
    <col min="4" max="9" width="6.6640625" style="126" customWidth="1"/>
    <col min="10" max="12" width="12.5" style="3" customWidth="1"/>
    <col min="13" max="13" width="12.33203125" style="2" customWidth="1"/>
    <col min="14" max="18" width="10.1640625" style="29" hidden="1" customWidth="1"/>
    <col min="19" max="23" width="10.33203125" style="29" hidden="1" customWidth="1"/>
    <col min="24" max="24" width="10.1640625" style="30" hidden="1" customWidth="1"/>
    <col min="25" max="25" width="17.6640625" style="30" customWidth="1"/>
    <col min="26" max="26" width="10.33203125" style="121" customWidth="1"/>
    <col min="27" max="27" width="28.6640625" style="2"/>
    <col min="28" max="16384" width="28.6640625" style="3"/>
  </cols>
  <sheetData>
    <row r="1" spans="1:26" ht="60.75" customHeight="1">
      <c r="A1" s="465" t="s">
        <v>163</v>
      </c>
      <c r="B1" s="465"/>
      <c r="C1" s="465"/>
      <c r="D1" s="465"/>
      <c r="E1" s="465"/>
      <c r="F1" s="465"/>
      <c r="G1" s="465"/>
      <c r="H1" s="465"/>
      <c r="I1" s="465"/>
      <c r="J1" s="465"/>
      <c r="K1" s="465"/>
      <c r="L1" s="465"/>
      <c r="M1" s="465"/>
    </row>
    <row r="2" spans="1:26" ht="33.75" customHeight="1">
      <c r="A2" s="262">
        <f>$M$34</f>
        <v>1.2</v>
      </c>
      <c r="B2" s="430" t="s">
        <v>134</v>
      </c>
      <c r="C2" s="383" t="s">
        <v>135</v>
      </c>
      <c r="D2" s="384" t="s">
        <v>136</v>
      </c>
      <c r="E2" s="384"/>
      <c r="F2" s="384"/>
      <c r="G2" s="384"/>
      <c r="H2" s="384" t="s">
        <v>137</v>
      </c>
      <c r="I2" s="384" t="s">
        <v>138</v>
      </c>
      <c r="J2" s="385" t="s">
        <v>139</v>
      </c>
      <c r="K2" s="385" t="s">
        <v>140</v>
      </c>
      <c r="L2" s="385" t="s">
        <v>141</v>
      </c>
      <c r="M2" s="386" t="s">
        <v>142</v>
      </c>
    </row>
    <row r="3" spans="1:26" ht="31.5" customHeight="1">
      <c r="A3" s="263" t="s">
        <v>0</v>
      </c>
      <c r="B3" s="430"/>
      <c r="C3" s="383"/>
      <c r="D3" s="208" t="s">
        <v>143</v>
      </c>
      <c r="E3" s="208" t="s">
        <v>144</v>
      </c>
      <c r="F3" s="208" t="s">
        <v>145</v>
      </c>
      <c r="G3" s="208" t="s">
        <v>146</v>
      </c>
      <c r="H3" s="384"/>
      <c r="I3" s="384"/>
      <c r="J3" s="385"/>
      <c r="K3" s="385"/>
      <c r="L3" s="385"/>
      <c r="M3" s="386"/>
      <c r="N3" s="29" t="s">
        <v>147</v>
      </c>
      <c r="O3" s="29" t="s">
        <v>148</v>
      </c>
      <c r="P3" s="29" t="s">
        <v>149</v>
      </c>
      <c r="Q3" s="29" t="s">
        <v>150</v>
      </c>
      <c r="R3" s="29" t="s">
        <v>147</v>
      </c>
      <c r="S3" s="29" t="s">
        <v>148</v>
      </c>
      <c r="T3" s="29" t="s">
        <v>149</v>
      </c>
      <c r="U3" s="29" t="s">
        <v>150</v>
      </c>
      <c r="V3" s="29" t="s">
        <v>164</v>
      </c>
      <c r="W3" s="29" t="s">
        <v>165</v>
      </c>
      <c r="X3" s="30" t="s">
        <v>153</v>
      </c>
      <c r="Y3" s="30" t="s">
        <v>154</v>
      </c>
    </row>
    <row r="4" spans="1:26" s="3" customFormat="1" ht="54.95" customHeight="1">
      <c r="A4" s="209">
        <v>1</v>
      </c>
      <c r="B4" s="280" t="s">
        <v>166</v>
      </c>
      <c r="C4" s="211">
        <v>1.1000000000000001</v>
      </c>
      <c r="D4" s="212">
        <v>0</v>
      </c>
      <c r="E4" s="212">
        <v>1</v>
      </c>
      <c r="F4" s="212">
        <v>0</v>
      </c>
      <c r="G4" s="212">
        <v>0</v>
      </c>
      <c r="H4" s="212">
        <v>2</v>
      </c>
      <c r="I4" s="212">
        <v>3</v>
      </c>
      <c r="J4" s="213">
        <v>0</v>
      </c>
      <c r="K4" s="213">
        <v>0</v>
      </c>
      <c r="L4" s="213">
        <f t="shared" ref="L4:L32" si="0">(((J4*C4)/$A$2)*D4)+(((J4*C4)/$A$2)*E4)+(((J4*C4)/$A$2)*F4)+(((J4*C4)/$A$2)*G4)</f>
        <v>0</v>
      </c>
      <c r="M4" s="214">
        <f t="shared" ref="M4:M32" si="1">(((K4*C4)/$A$2)*D4)+(((K4*C4)/$A$2)*E4)+(((K4*C4)/$A$2)*F4)+(((K4*C4)/$A$2)*G4)</f>
        <v>0</v>
      </c>
      <c r="N4" s="122">
        <f t="shared" ref="N4:N32" si="2">J4*D4*C4/$A$2</f>
        <v>0</v>
      </c>
      <c r="O4" s="122">
        <f t="shared" ref="O4:O32" si="3">J4*E4*C4/$A$2</f>
        <v>0</v>
      </c>
      <c r="P4" s="122">
        <f t="shared" ref="P4:P32" si="4">J4*F4*C4/$A$2</f>
        <v>0</v>
      </c>
      <c r="Q4" s="122">
        <f t="shared" ref="Q4:Q32" si="5">J4*G4*C4/$A$2</f>
        <v>0</v>
      </c>
      <c r="R4" s="122">
        <f t="shared" ref="R4:R32" si="6">K4*D4*C4/$A$2</f>
        <v>0</v>
      </c>
      <c r="S4" s="122">
        <f t="shared" ref="S4:S32" si="7">K4*E4*C4/$A$2</f>
        <v>0</v>
      </c>
      <c r="T4" s="122">
        <f t="shared" ref="T4:T32" si="8">K4*F4*C4/$A$2</f>
        <v>0</v>
      </c>
      <c r="U4" s="122">
        <f t="shared" ref="U4:U32" si="9">K4*G4*C4/$A$2</f>
        <v>0</v>
      </c>
      <c r="V4" s="30">
        <f t="shared" ref="V4:V32" si="10">((L4/15)*((I4+H4)-2))</f>
        <v>0</v>
      </c>
      <c r="W4" s="30">
        <f t="shared" ref="W4:W32" si="11">((M4/15)*((I4+H4)-2))</f>
        <v>0</v>
      </c>
      <c r="X4" s="30">
        <f t="shared" ref="X4:Y19" si="12">L4*(V4/(V4-0.0000001))</f>
        <v>0</v>
      </c>
      <c r="Y4" s="30">
        <f t="shared" si="12"/>
        <v>0</v>
      </c>
      <c r="Z4" s="2"/>
    </row>
    <row r="5" spans="1:26" s="3" customFormat="1" ht="54.95" customHeight="1">
      <c r="A5" s="209">
        <v>2</v>
      </c>
      <c r="B5" s="280" t="s">
        <v>167</v>
      </c>
      <c r="C5" s="211">
        <v>1.5</v>
      </c>
      <c r="D5" s="212">
        <v>0</v>
      </c>
      <c r="E5" s="212">
        <v>1</v>
      </c>
      <c r="F5" s="212">
        <v>0</v>
      </c>
      <c r="G5" s="212">
        <v>0</v>
      </c>
      <c r="H5" s="212">
        <v>4</v>
      </c>
      <c r="I5" s="212">
        <v>3</v>
      </c>
      <c r="J5" s="213">
        <v>0</v>
      </c>
      <c r="K5" s="213">
        <v>0</v>
      </c>
      <c r="L5" s="213">
        <f t="shared" si="0"/>
        <v>0</v>
      </c>
      <c r="M5" s="214">
        <f t="shared" si="1"/>
        <v>0</v>
      </c>
      <c r="N5" s="122">
        <f t="shared" si="2"/>
        <v>0</v>
      </c>
      <c r="O5" s="122">
        <f t="shared" si="3"/>
        <v>0</v>
      </c>
      <c r="P5" s="122">
        <f t="shared" si="4"/>
        <v>0</v>
      </c>
      <c r="Q5" s="122">
        <f t="shared" si="5"/>
        <v>0</v>
      </c>
      <c r="R5" s="122">
        <f t="shared" si="6"/>
        <v>0</v>
      </c>
      <c r="S5" s="122">
        <f t="shared" si="7"/>
        <v>0</v>
      </c>
      <c r="T5" s="122">
        <f t="shared" si="8"/>
        <v>0</v>
      </c>
      <c r="U5" s="122">
        <f t="shared" si="9"/>
        <v>0</v>
      </c>
      <c r="V5" s="30">
        <f t="shared" si="10"/>
        <v>0</v>
      </c>
      <c r="W5" s="30">
        <f t="shared" si="11"/>
        <v>0</v>
      </c>
      <c r="X5" s="30">
        <f t="shared" si="12"/>
        <v>0</v>
      </c>
      <c r="Y5" s="30">
        <v>0</v>
      </c>
      <c r="Z5" s="2"/>
    </row>
    <row r="6" spans="1:26" s="3" customFormat="1" ht="54.95" customHeight="1">
      <c r="A6" s="209">
        <v>3</v>
      </c>
      <c r="B6" s="280" t="s">
        <v>168</v>
      </c>
      <c r="C6" s="211">
        <v>1.6</v>
      </c>
      <c r="D6" s="212">
        <v>0</v>
      </c>
      <c r="E6" s="212">
        <v>1</v>
      </c>
      <c r="F6" s="212">
        <v>0</v>
      </c>
      <c r="G6" s="212">
        <v>0</v>
      </c>
      <c r="H6" s="212">
        <v>4</v>
      </c>
      <c r="I6" s="212">
        <v>3</v>
      </c>
      <c r="J6" s="213">
        <v>0</v>
      </c>
      <c r="K6" s="213">
        <v>0</v>
      </c>
      <c r="L6" s="213">
        <f t="shared" si="0"/>
        <v>0</v>
      </c>
      <c r="M6" s="214">
        <f t="shared" si="1"/>
        <v>0</v>
      </c>
      <c r="N6" s="122">
        <f t="shared" si="2"/>
        <v>0</v>
      </c>
      <c r="O6" s="122">
        <f t="shared" si="3"/>
        <v>0</v>
      </c>
      <c r="P6" s="122">
        <f t="shared" si="4"/>
        <v>0</v>
      </c>
      <c r="Q6" s="122">
        <f t="shared" si="5"/>
        <v>0</v>
      </c>
      <c r="R6" s="122">
        <f t="shared" si="6"/>
        <v>0</v>
      </c>
      <c r="S6" s="122">
        <f t="shared" si="7"/>
        <v>0</v>
      </c>
      <c r="T6" s="122">
        <f t="shared" si="8"/>
        <v>0</v>
      </c>
      <c r="U6" s="122">
        <f t="shared" si="9"/>
        <v>0</v>
      </c>
      <c r="V6" s="30">
        <f t="shared" si="10"/>
        <v>0</v>
      </c>
      <c r="W6" s="30">
        <f t="shared" si="11"/>
        <v>0</v>
      </c>
      <c r="X6" s="30">
        <f t="shared" si="12"/>
        <v>0</v>
      </c>
      <c r="Y6" s="30">
        <v>0</v>
      </c>
      <c r="Z6" s="2"/>
    </row>
    <row r="7" spans="1:26" s="3" customFormat="1" ht="54.95" customHeight="1">
      <c r="A7" s="209">
        <v>4</v>
      </c>
      <c r="B7" s="280" t="s">
        <v>169</v>
      </c>
      <c r="C7" s="211">
        <v>2.2000000000000002</v>
      </c>
      <c r="D7" s="212">
        <v>0</v>
      </c>
      <c r="E7" s="212">
        <v>1</v>
      </c>
      <c r="F7" s="212">
        <v>0</v>
      </c>
      <c r="G7" s="212">
        <v>0</v>
      </c>
      <c r="H7" s="212">
        <v>5</v>
      </c>
      <c r="I7" s="212">
        <v>3</v>
      </c>
      <c r="J7" s="213">
        <v>0</v>
      </c>
      <c r="K7" s="213">
        <v>0</v>
      </c>
      <c r="L7" s="213">
        <f t="shared" si="0"/>
        <v>0</v>
      </c>
      <c r="M7" s="214">
        <f t="shared" si="1"/>
        <v>0</v>
      </c>
      <c r="N7" s="122">
        <f t="shared" si="2"/>
        <v>0</v>
      </c>
      <c r="O7" s="122">
        <f t="shared" si="3"/>
        <v>0</v>
      </c>
      <c r="P7" s="122">
        <f t="shared" si="4"/>
        <v>0</v>
      </c>
      <c r="Q7" s="122">
        <f t="shared" si="5"/>
        <v>0</v>
      </c>
      <c r="R7" s="122">
        <f t="shared" si="6"/>
        <v>0</v>
      </c>
      <c r="S7" s="122">
        <f t="shared" si="7"/>
        <v>0</v>
      </c>
      <c r="T7" s="122">
        <f t="shared" si="8"/>
        <v>0</v>
      </c>
      <c r="U7" s="122">
        <f t="shared" si="9"/>
        <v>0</v>
      </c>
      <c r="V7" s="30">
        <f t="shared" si="10"/>
        <v>0</v>
      </c>
      <c r="W7" s="30">
        <f t="shared" si="11"/>
        <v>0</v>
      </c>
      <c r="X7" s="30">
        <f t="shared" si="12"/>
        <v>0</v>
      </c>
      <c r="Y7" s="30">
        <v>0</v>
      </c>
      <c r="Z7" s="2"/>
    </row>
    <row r="8" spans="1:26" s="3" customFormat="1" ht="54.95" customHeight="1">
      <c r="A8" s="209">
        <v>5</v>
      </c>
      <c r="B8" s="280" t="s">
        <v>170</v>
      </c>
      <c r="C8" s="211">
        <v>1.6</v>
      </c>
      <c r="D8" s="212">
        <v>0</v>
      </c>
      <c r="E8" s="212">
        <v>1</v>
      </c>
      <c r="F8" s="212">
        <v>0</v>
      </c>
      <c r="G8" s="212">
        <v>0</v>
      </c>
      <c r="H8" s="212">
        <v>3</v>
      </c>
      <c r="I8" s="212">
        <v>4</v>
      </c>
      <c r="J8" s="213">
        <v>0</v>
      </c>
      <c r="K8" s="213">
        <v>0</v>
      </c>
      <c r="L8" s="213">
        <f t="shared" si="0"/>
        <v>0</v>
      </c>
      <c r="M8" s="214">
        <f t="shared" si="1"/>
        <v>0</v>
      </c>
      <c r="N8" s="122">
        <f t="shared" si="2"/>
        <v>0</v>
      </c>
      <c r="O8" s="122">
        <f t="shared" si="3"/>
        <v>0</v>
      </c>
      <c r="P8" s="122">
        <f t="shared" si="4"/>
        <v>0</v>
      </c>
      <c r="Q8" s="122">
        <f t="shared" si="5"/>
        <v>0</v>
      </c>
      <c r="R8" s="122">
        <f t="shared" si="6"/>
        <v>0</v>
      </c>
      <c r="S8" s="122">
        <f t="shared" si="7"/>
        <v>0</v>
      </c>
      <c r="T8" s="122">
        <f t="shared" si="8"/>
        <v>0</v>
      </c>
      <c r="U8" s="122">
        <f t="shared" si="9"/>
        <v>0</v>
      </c>
      <c r="V8" s="30">
        <f t="shared" si="10"/>
        <v>0</v>
      </c>
      <c r="W8" s="30">
        <f t="shared" si="11"/>
        <v>0</v>
      </c>
      <c r="X8" s="30">
        <f t="shared" si="12"/>
        <v>0</v>
      </c>
      <c r="Y8" s="30">
        <v>0</v>
      </c>
      <c r="Z8" s="2"/>
    </row>
    <row r="9" spans="1:26" s="3" customFormat="1" ht="54.95" customHeight="1">
      <c r="A9" s="209">
        <v>6</v>
      </c>
      <c r="B9" s="280" t="s">
        <v>171</v>
      </c>
      <c r="C9" s="211">
        <v>1.7</v>
      </c>
      <c r="D9" s="212">
        <v>0</v>
      </c>
      <c r="E9" s="212">
        <v>1</v>
      </c>
      <c r="F9" s="212">
        <v>0</v>
      </c>
      <c r="G9" s="212">
        <v>0</v>
      </c>
      <c r="H9" s="212">
        <v>5</v>
      </c>
      <c r="I9" s="212">
        <v>3</v>
      </c>
      <c r="J9" s="213">
        <v>0</v>
      </c>
      <c r="K9" s="213">
        <v>0</v>
      </c>
      <c r="L9" s="213">
        <f t="shared" si="0"/>
        <v>0</v>
      </c>
      <c r="M9" s="214">
        <f t="shared" si="1"/>
        <v>0</v>
      </c>
      <c r="N9" s="122">
        <f t="shared" si="2"/>
        <v>0</v>
      </c>
      <c r="O9" s="122">
        <f t="shared" si="3"/>
        <v>0</v>
      </c>
      <c r="P9" s="122">
        <f t="shared" si="4"/>
        <v>0</v>
      </c>
      <c r="Q9" s="122">
        <f t="shared" si="5"/>
        <v>0</v>
      </c>
      <c r="R9" s="122">
        <f t="shared" si="6"/>
        <v>0</v>
      </c>
      <c r="S9" s="122">
        <f t="shared" si="7"/>
        <v>0</v>
      </c>
      <c r="T9" s="122">
        <f t="shared" si="8"/>
        <v>0</v>
      </c>
      <c r="U9" s="122">
        <f t="shared" si="9"/>
        <v>0</v>
      </c>
      <c r="V9" s="30">
        <f t="shared" si="10"/>
        <v>0</v>
      </c>
      <c r="W9" s="30">
        <f t="shared" si="11"/>
        <v>0</v>
      </c>
      <c r="X9" s="30">
        <f t="shared" si="12"/>
        <v>0</v>
      </c>
      <c r="Y9" s="30">
        <v>0</v>
      </c>
      <c r="Z9" s="2"/>
    </row>
    <row r="10" spans="1:26" s="3" customFormat="1" ht="54.95" customHeight="1">
      <c r="A10" s="209">
        <v>7</v>
      </c>
      <c r="B10" s="280" t="s">
        <v>172</v>
      </c>
      <c r="C10" s="211">
        <v>1.2</v>
      </c>
      <c r="D10" s="212">
        <v>0</v>
      </c>
      <c r="E10" s="212">
        <v>1</v>
      </c>
      <c r="F10" s="212">
        <v>0</v>
      </c>
      <c r="G10" s="212">
        <v>0</v>
      </c>
      <c r="H10" s="212">
        <v>2</v>
      </c>
      <c r="I10" s="212">
        <v>3</v>
      </c>
      <c r="J10" s="213">
        <v>0</v>
      </c>
      <c r="K10" s="213">
        <v>0</v>
      </c>
      <c r="L10" s="213">
        <f t="shared" si="0"/>
        <v>0</v>
      </c>
      <c r="M10" s="214">
        <f t="shared" si="1"/>
        <v>0</v>
      </c>
      <c r="N10" s="122">
        <f t="shared" si="2"/>
        <v>0</v>
      </c>
      <c r="O10" s="122">
        <f t="shared" si="3"/>
        <v>0</v>
      </c>
      <c r="P10" s="122">
        <f t="shared" si="4"/>
        <v>0</v>
      </c>
      <c r="Q10" s="122">
        <f t="shared" si="5"/>
        <v>0</v>
      </c>
      <c r="R10" s="122">
        <f t="shared" si="6"/>
        <v>0</v>
      </c>
      <c r="S10" s="122">
        <f t="shared" si="7"/>
        <v>0</v>
      </c>
      <c r="T10" s="122">
        <f t="shared" si="8"/>
        <v>0</v>
      </c>
      <c r="U10" s="122">
        <f t="shared" si="9"/>
        <v>0</v>
      </c>
      <c r="V10" s="30">
        <f t="shared" si="10"/>
        <v>0</v>
      </c>
      <c r="W10" s="30">
        <f t="shared" si="11"/>
        <v>0</v>
      </c>
      <c r="X10" s="30">
        <f t="shared" si="12"/>
        <v>0</v>
      </c>
      <c r="Y10" s="30">
        <v>0</v>
      </c>
      <c r="Z10" s="2"/>
    </row>
    <row r="11" spans="1:26" s="131" customFormat="1" ht="54.95" customHeight="1">
      <c r="A11" s="209">
        <v>15</v>
      </c>
      <c r="B11" s="280" t="s">
        <v>173</v>
      </c>
      <c r="C11" s="211">
        <v>0.7</v>
      </c>
      <c r="D11" s="212">
        <v>0</v>
      </c>
      <c r="E11" s="212">
        <v>0</v>
      </c>
      <c r="F11" s="212">
        <v>1</v>
      </c>
      <c r="G11" s="212">
        <v>0</v>
      </c>
      <c r="H11" s="212">
        <v>1</v>
      </c>
      <c r="I11" s="212">
        <v>1</v>
      </c>
      <c r="J11" s="213">
        <v>0</v>
      </c>
      <c r="K11" s="213">
        <v>0</v>
      </c>
      <c r="L11" s="213">
        <f t="shared" si="0"/>
        <v>0</v>
      </c>
      <c r="M11" s="214">
        <f t="shared" si="1"/>
        <v>0</v>
      </c>
      <c r="N11" s="122">
        <f t="shared" si="2"/>
        <v>0</v>
      </c>
      <c r="O11" s="122">
        <f t="shared" si="3"/>
        <v>0</v>
      </c>
      <c r="P11" s="122">
        <f t="shared" si="4"/>
        <v>0</v>
      </c>
      <c r="Q11" s="122">
        <f t="shared" si="5"/>
        <v>0</v>
      </c>
      <c r="R11" s="122">
        <f t="shared" si="6"/>
        <v>0</v>
      </c>
      <c r="S11" s="122">
        <f t="shared" si="7"/>
        <v>0</v>
      </c>
      <c r="T11" s="122">
        <f t="shared" si="8"/>
        <v>0</v>
      </c>
      <c r="U11" s="122">
        <f t="shared" si="9"/>
        <v>0</v>
      </c>
      <c r="V11" s="30">
        <f t="shared" si="10"/>
        <v>0</v>
      </c>
      <c r="W11" s="30">
        <f t="shared" si="11"/>
        <v>0</v>
      </c>
      <c r="X11" s="30">
        <f t="shared" si="12"/>
        <v>0</v>
      </c>
      <c r="Y11" s="30">
        <v>0</v>
      </c>
      <c r="Z11" s="130"/>
    </row>
    <row r="12" spans="1:26" s="131" customFormat="1" ht="54.95" customHeight="1">
      <c r="A12" s="209">
        <v>16</v>
      </c>
      <c r="B12" s="280" t="s">
        <v>174</v>
      </c>
      <c r="C12" s="211">
        <v>0.4</v>
      </c>
      <c r="D12" s="212">
        <v>0</v>
      </c>
      <c r="E12" s="212">
        <v>0</v>
      </c>
      <c r="F12" s="212">
        <v>1</v>
      </c>
      <c r="G12" s="212">
        <v>0</v>
      </c>
      <c r="H12" s="212">
        <v>1</v>
      </c>
      <c r="I12" s="212">
        <v>1</v>
      </c>
      <c r="J12" s="213">
        <v>0</v>
      </c>
      <c r="K12" s="213">
        <v>0</v>
      </c>
      <c r="L12" s="213">
        <f t="shared" si="0"/>
        <v>0</v>
      </c>
      <c r="M12" s="214">
        <f t="shared" si="1"/>
        <v>0</v>
      </c>
      <c r="N12" s="122">
        <f t="shared" si="2"/>
        <v>0</v>
      </c>
      <c r="O12" s="122">
        <f t="shared" si="3"/>
        <v>0</v>
      </c>
      <c r="P12" s="122">
        <f t="shared" si="4"/>
        <v>0</v>
      </c>
      <c r="Q12" s="122">
        <f t="shared" si="5"/>
        <v>0</v>
      </c>
      <c r="R12" s="122">
        <f t="shared" si="6"/>
        <v>0</v>
      </c>
      <c r="S12" s="122">
        <f t="shared" si="7"/>
        <v>0</v>
      </c>
      <c r="T12" s="122">
        <f t="shared" si="8"/>
        <v>0</v>
      </c>
      <c r="U12" s="122">
        <f t="shared" si="9"/>
        <v>0</v>
      </c>
      <c r="V12" s="30">
        <f t="shared" si="10"/>
        <v>0</v>
      </c>
      <c r="W12" s="30">
        <f t="shared" si="11"/>
        <v>0</v>
      </c>
      <c r="X12" s="30">
        <f t="shared" si="12"/>
        <v>0</v>
      </c>
      <c r="Y12" s="30">
        <v>0</v>
      </c>
      <c r="Z12" s="130"/>
    </row>
    <row r="13" spans="1:26" s="131" customFormat="1" ht="54.95" customHeight="1">
      <c r="A13" s="209">
        <v>17</v>
      </c>
      <c r="B13" s="280" t="s">
        <v>175</v>
      </c>
      <c r="C13" s="211">
        <v>0.8</v>
      </c>
      <c r="D13" s="212">
        <v>0</v>
      </c>
      <c r="E13" s="212">
        <v>0</v>
      </c>
      <c r="F13" s="212">
        <v>1</v>
      </c>
      <c r="G13" s="212">
        <v>0</v>
      </c>
      <c r="H13" s="212">
        <v>1</v>
      </c>
      <c r="I13" s="212">
        <v>1</v>
      </c>
      <c r="J13" s="213">
        <v>0</v>
      </c>
      <c r="K13" s="213">
        <v>0</v>
      </c>
      <c r="L13" s="213">
        <f t="shared" si="0"/>
        <v>0</v>
      </c>
      <c r="M13" s="214">
        <f t="shared" si="1"/>
        <v>0</v>
      </c>
      <c r="N13" s="122">
        <f t="shared" si="2"/>
        <v>0</v>
      </c>
      <c r="O13" s="122">
        <f t="shared" si="3"/>
        <v>0</v>
      </c>
      <c r="P13" s="122">
        <f t="shared" si="4"/>
        <v>0</v>
      </c>
      <c r="Q13" s="122">
        <f t="shared" si="5"/>
        <v>0</v>
      </c>
      <c r="R13" s="122">
        <f t="shared" si="6"/>
        <v>0</v>
      </c>
      <c r="S13" s="122">
        <f t="shared" si="7"/>
        <v>0</v>
      </c>
      <c r="T13" s="122">
        <f t="shared" si="8"/>
        <v>0</v>
      </c>
      <c r="U13" s="122">
        <f t="shared" si="9"/>
        <v>0</v>
      </c>
      <c r="V13" s="30">
        <f t="shared" si="10"/>
        <v>0</v>
      </c>
      <c r="W13" s="30">
        <f t="shared" si="11"/>
        <v>0</v>
      </c>
      <c r="X13" s="30">
        <f t="shared" si="12"/>
        <v>0</v>
      </c>
      <c r="Y13" s="30">
        <v>0</v>
      </c>
      <c r="Z13" s="130"/>
    </row>
    <row r="14" spans="1:26" s="131" customFormat="1" ht="54.95" customHeight="1">
      <c r="A14" s="209">
        <v>18</v>
      </c>
      <c r="B14" s="280" t="s">
        <v>176</v>
      </c>
      <c r="C14" s="211">
        <v>0.5</v>
      </c>
      <c r="D14" s="212">
        <v>0</v>
      </c>
      <c r="E14" s="212">
        <v>0</v>
      </c>
      <c r="F14" s="212">
        <v>1</v>
      </c>
      <c r="G14" s="212">
        <v>0</v>
      </c>
      <c r="H14" s="212">
        <v>1</v>
      </c>
      <c r="I14" s="212">
        <v>1</v>
      </c>
      <c r="J14" s="213">
        <v>0</v>
      </c>
      <c r="K14" s="213">
        <v>0</v>
      </c>
      <c r="L14" s="213">
        <f t="shared" si="0"/>
        <v>0</v>
      </c>
      <c r="M14" s="214">
        <f t="shared" si="1"/>
        <v>0</v>
      </c>
      <c r="N14" s="122">
        <f t="shared" si="2"/>
        <v>0</v>
      </c>
      <c r="O14" s="122">
        <f t="shared" si="3"/>
        <v>0</v>
      </c>
      <c r="P14" s="122">
        <f t="shared" si="4"/>
        <v>0</v>
      </c>
      <c r="Q14" s="122">
        <f t="shared" si="5"/>
        <v>0</v>
      </c>
      <c r="R14" s="122">
        <f t="shared" si="6"/>
        <v>0</v>
      </c>
      <c r="S14" s="122">
        <f t="shared" si="7"/>
        <v>0</v>
      </c>
      <c r="T14" s="122">
        <f t="shared" si="8"/>
        <v>0</v>
      </c>
      <c r="U14" s="122">
        <f t="shared" si="9"/>
        <v>0</v>
      </c>
      <c r="V14" s="30">
        <f t="shared" si="10"/>
        <v>0</v>
      </c>
      <c r="W14" s="30">
        <f t="shared" si="11"/>
        <v>0</v>
      </c>
      <c r="X14" s="30">
        <f t="shared" si="12"/>
        <v>0</v>
      </c>
      <c r="Y14" s="30">
        <v>0</v>
      </c>
      <c r="Z14" s="130"/>
    </row>
    <row r="15" spans="1:26" s="131" customFormat="1" ht="54.95" customHeight="1">
      <c r="A15" s="209">
        <v>19</v>
      </c>
      <c r="B15" s="280" t="s">
        <v>177</v>
      </c>
      <c r="C15" s="211">
        <v>0.9</v>
      </c>
      <c r="D15" s="212">
        <v>0</v>
      </c>
      <c r="E15" s="212">
        <v>0</v>
      </c>
      <c r="F15" s="212">
        <v>1</v>
      </c>
      <c r="G15" s="212">
        <v>0</v>
      </c>
      <c r="H15" s="212">
        <v>1</v>
      </c>
      <c r="I15" s="212">
        <v>1</v>
      </c>
      <c r="J15" s="213">
        <v>0</v>
      </c>
      <c r="K15" s="213">
        <v>0</v>
      </c>
      <c r="L15" s="213">
        <f t="shared" si="0"/>
        <v>0</v>
      </c>
      <c r="M15" s="214">
        <f t="shared" si="1"/>
        <v>0</v>
      </c>
      <c r="N15" s="122">
        <f t="shared" si="2"/>
        <v>0</v>
      </c>
      <c r="O15" s="122">
        <f t="shared" si="3"/>
        <v>0</v>
      </c>
      <c r="P15" s="122">
        <f t="shared" si="4"/>
        <v>0</v>
      </c>
      <c r="Q15" s="122">
        <f t="shared" si="5"/>
        <v>0</v>
      </c>
      <c r="R15" s="122">
        <f t="shared" si="6"/>
        <v>0</v>
      </c>
      <c r="S15" s="122">
        <f t="shared" si="7"/>
        <v>0</v>
      </c>
      <c r="T15" s="122">
        <f t="shared" si="8"/>
        <v>0</v>
      </c>
      <c r="U15" s="122">
        <f t="shared" si="9"/>
        <v>0</v>
      </c>
      <c r="V15" s="30">
        <f t="shared" si="10"/>
        <v>0</v>
      </c>
      <c r="W15" s="30">
        <f t="shared" si="11"/>
        <v>0</v>
      </c>
      <c r="X15" s="30">
        <f t="shared" si="12"/>
        <v>0</v>
      </c>
      <c r="Y15" s="30">
        <v>0</v>
      </c>
      <c r="Z15" s="130"/>
    </row>
    <row r="16" spans="1:26" s="131" customFormat="1" ht="54.95" customHeight="1">
      <c r="A16" s="209">
        <v>20</v>
      </c>
      <c r="B16" s="280" t="s">
        <v>178</v>
      </c>
      <c r="C16" s="211">
        <v>0.6</v>
      </c>
      <c r="D16" s="212">
        <v>0</v>
      </c>
      <c r="E16" s="212">
        <v>0</v>
      </c>
      <c r="F16" s="212">
        <v>1</v>
      </c>
      <c r="G16" s="212">
        <v>0</v>
      </c>
      <c r="H16" s="212">
        <v>1</v>
      </c>
      <c r="I16" s="212">
        <v>1</v>
      </c>
      <c r="J16" s="213">
        <v>0</v>
      </c>
      <c r="K16" s="213">
        <v>0</v>
      </c>
      <c r="L16" s="213">
        <f t="shared" si="0"/>
        <v>0</v>
      </c>
      <c r="M16" s="214">
        <f t="shared" si="1"/>
        <v>0</v>
      </c>
      <c r="N16" s="122">
        <f t="shared" si="2"/>
        <v>0</v>
      </c>
      <c r="O16" s="122">
        <f t="shared" si="3"/>
        <v>0</v>
      </c>
      <c r="P16" s="122">
        <f t="shared" si="4"/>
        <v>0</v>
      </c>
      <c r="Q16" s="122">
        <f t="shared" si="5"/>
        <v>0</v>
      </c>
      <c r="R16" s="122">
        <f t="shared" si="6"/>
        <v>0</v>
      </c>
      <c r="S16" s="122">
        <f t="shared" si="7"/>
        <v>0</v>
      </c>
      <c r="T16" s="122">
        <f t="shared" si="8"/>
        <v>0</v>
      </c>
      <c r="U16" s="122">
        <f t="shared" si="9"/>
        <v>0</v>
      </c>
      <c r="V16" s="30">
        <f t="shared" si="10"/>
        <v>0</v>
      </c>
      <c r="W16" s="30">
        <f t="shared" si="11"/>
        <v>0</v>
      </c>
      <c r="X16" s="30">
        <f t="shared" si="12"/>
        <v>0</v>
      </c>
      <c r="Y16" s="30">
        <v>0</v>
      </c>
      <c r="Z16" s="130"/>
    </row>
    <row r="17" spans="1:26" s="131" customFormat="1" ht="54.95" customHeight="1">
      <c r="A17" s="209">
        <v>21</v>
      </c>
      <c r="B17" s="280" t="s">
        <v>179</v>
      </c>
      <c r="C17" s="211">
        <v>1.3</v>
      </c>
      <c r="D17" s="212">
        <v>0</v>
      </c>
      <c r="E17" s="212">
        <v>0</v>
      </c>
      <c r="F17" s="212">
        <v>1</v>
      </c>
      <c r="G17" s="212">
        <v>0</v>
      </c>
      <c r="H17" s="212">
        <v>1</v>
      </c>
      <c r="I17" s="212">
        <v>1</v>
      </c>
      <c r="J17" s="213">
        <v>0</v>
      </c>
      <c r="K17" s="213">
        <v>0</v>
      </c>
      <c r="L17" s="213">
        <f t="shared" si="0"/>
        <v>0</v>
      </c>
      <c r="M17" s="214">
        <f t="shared" si="1"/>
        <v>0</v>
      </c>
      <c r="N17" s="122">
        <f t="shared" si="2"/>
        <v>0</v>
      </c>
      <c r="O17" s="122">
        <f t="shared" si="3"/>
        <v>0</v>
      </c>
      <c r="P17" s="122">
        <f t="shared" si="4"/>
        <v>0</v>
      </c>
      <c r="Q17" s="122">
        <f t="shared" si="5"/>
        <v>0</v>
      </c>
      <c r="R17" s="122">
        <f t="shared" si="6"/>
        <v>0</v>
      </c>
      <c r="S17" s="122">
        <f t="shared" si="7"/>
        <v>0</v>
      </c>
      <c r="T17" s="122">
        <f t="shared" si="8"/>
        <v>0</v>
      </c>
      <c r="U17" s="122">
        <f t="shared" si="9"/>
        <v>0</v>
      </c>
      <c r="V17" s="30">
        <f t="shared" si="10"/>
        <v>0</v>
      </c>
      <c r="W17" s="30">
        <f t="shared" si="11"/>
        <v>0</v>
      </c>
      <c r="X17" s="30">
        <f t="shared" si="12"/>
        <v>0</v>
      </c>
      <c r="Y17" s="30">
        <v>0</v>
      </c>
      <c r="Z17" s="130"/>
    </row>
    <row r="18" spans="1:26" s="131" customFormat="1" ht="54.95" customHeight="1">
      <c r="A18" s="209">
        <v>22</v>
      </c>
      <c r="B18" s="280" t="s">
        <v>180</v>
      </c>
      <c r="C18" s="211">
        <v>1.1000000000000001</v>
      </c>
      <c r="D18" s="212">
        <v>0</v>
      </c>
      <c r="E18" s="212">
        <v>0</v>
      </c>
      <c r="F18" s="212">
        <v>1</v>
      </c>
      <c r="G18" s="212">
        <v>0</v>
      </c>
      <c r="H18" s="212">
        <v>1</v>
      </c>
      <c r="I18" s="212">
        <v>1</v>
      </c>
      <c r="J18" s="213">
        <v>0</v>
      </c>
      <c r="K18" s="213">
        <v>0</v>
      </c>
      <c r="L18" s="213">
        <f t="shared" si="0"/>
        <v>0</v>
      </c>
      <c r="M18" s="214">
        <f t="shared" si="1"/>
        <v>0</v>
      </c>
      <c r="N18" s="122">
        <f t="shared" si="2"/>
        <v>0</v>
      </c>
      <c r="O18" s="122">
        <f t="shared" si="3"/>
        <v>0</v>
      </c>
      <c r="P18" s="122">
        <f t="shared" si="4"/>
        <v>0</v>
      </c>
      <c r="Q18" s="122">
        <f t="shared" si="5"/>
        <v>0</v>
      </c>
      <c r="R18" s="122">
        <f t="shared" si="6"/>
        <v>0</v>
      </c>
      <c r="S18" s="122">
        <f t="shared" si="7"/>
        <v>0</v>
      </c>
      <c r="T18" s="122">
        <f t="shared" si="8"/>
        <v>0</v>
      </c>
      <c r="U18" s="122">
        <f t="shared" si="9"/>
        <v>0</v>
      </c>
      <c r="V18" s="30">
        <f t="shared" si="10"/>
        <v>0</v>
      </c>
      <c r="W18" s="30">
        <f t="shared" si="11"/>
        <v>0</v>
      </c>
      <c r="X18" s="30">
        <f t="shared" si="12"/>
        <v>0</v>
      </c>
      <c r="Y18" s="30">
        <v>0</v>
      </c>
      <c r="Z18" s="130"/>
    </row>
    <row r="19" spans="1:26" s="131" customFormat="1" ht="54.95" customHeight="1">
      <c r="A19" s="209">
        <v>23</v>
      </c>
      <c r="B19" s="280" t="s">
        <v>181</v>
      </c>
      <c r="C19" s="211">
        <v>1.1000000000000001</v>
      </c>
      <c r="D19" s="212">
        <v>0</v>
      </c>
      <c r="E19" s="212">
        <v>0</v>
      </c>
      <c r="F19" s="212">
        <v>1</v>
      </c>
      <c r="G19" s="212">
        <v>0</v>
      </c>
      <c r="H19" s="212">
        <v>1</v>
      </c>
      <c r="I19" s="212">
        <v>1</v>
      </c>
      <c r="J19" s="213">
        <v>0</v>
      </c>
      <c r="K19" s="213">
        <v>0</v>
      </c>
      <c r="L19" s="213">
        <f t="shared" si="0"/>
        <v>0</v>
      </c>
      <c r="M19" s="214">
        <f t="shared" si="1"/>
        <v>0</v>
      </c>
      <c r="N19" s="122">
        <f t="shared" si="2"/>
        <v>0</v>
      </c>
      <c r="O19" s="122">
        <f t="shared" si="3"/>
        <v>0</v>
      </c>
      <c r="P19" s="122">
        <f t="shared" si="4"/>
        <v>0</v>
      </c>
      <c r="Q19" s="122">
        <f t="shared" si="5"/>
        <v>0</v>
      </c>
      <c r="R19" s="122">
        <f t="shared" si="6"/>
        <v>0</v>
      </c>
      <c r="S19" s="122">
        <f t="shared" si="7"/>
        <v>0</v>
      </c>
      <c r="T19" s="122">
        <f t="shared" si="8"/>
        <v>0</v>
      </c>
      <c r="U19" s="122">
        <f t="shared" si="9"/>
        <v>0</v>
      </c>
      <c r="V19" s="30">
        <f t="shared" si="10"/>
        <v>0</v>
      </c>
      <c r="W19" s="30">
        <f t="shared" si="11"/>
        <v>0</v>
      </c>
      <c r="X19" s="30">
        <f t="shared" si="12"/>
        <v>0</v>
      </c>
      <c r="Y19" s="30">
        <v>0</v>
      </c>
      <c r="Z19" s="130"/>
    </row>
    <row r="20" spans="1:26" s="131" customFormat="1" ht="54.95" customHeight="1">
      <c r="A20" s="209">
        <v>24</v>
      </c>
      <c r="B20" s="280" t="s">
        <v>182</v>
      </c>
      <c r="C20" s="211">
        <v>0.9</v>
      </c>
      <c r="D20" s="212">
        <v>0</v>
      </c>
      <c r="E20" s="212">
        <v>0</v>
      </c>
      <c r="F20" s="212">
        <v>1</v>
      </c>
      <c r="G20" s="212">
        <v>0</v>
      </c>
      <c r="H20" s="212">
        <v>1</v>
      </c>
      <c r="I20" s="212">
        <v>1</v>
      </c>
      <c r="J20" s="213">
        <v>0</v>
      </c>
      <c r="K20" s="213">
        <v>0</v>
      </c>
      <c r="L20" s="213">
        <f t="shared" si="0"/>
        <v>0</v>
      </c>
      <c r="M20" s="214">
        <f t="shared" si="1"/>
        <v>0</v>
      </c>
      <c r="N20" s="122">
        <f t="shared" si="2"/>
        <v>0</v>
      </c>
      <c r="O20" s="122">
        <f t="shared" si="3"/>
        <v>0</v>
      </c>
      <c r="P20" s="122">
        <f t="shared" si="4"/>
        <v>0</v>
      </c>
      <c r="Q20" s="122">
        <f t="shared" si="5"/>
        <v>0</v>
      </c>
      <c r="R20" s="122">
        <f t="shared" si="6"/>
        <v>0</v>
      </c>
      <c r="S20" s="122">
        <f t="shared" si="7"/>
        <v>0</v>
      </c>
      <c r="T20" s="122">
        <f t="shared" si="8"/>
        <v>0</v>
      </c>
      <c r="U20" s="122">
        <f t="shared" si="9"/>
        <v>0</v>
      </c>
      <c r="V20" s="30">
        <f t="shared" si="10"/>
        <v>0</v>
      </c>
      <c r="W20" s="30">
        <f t="shared" si="11"/>
        <v>0</v>
      </c>
      <c r="X20" s="30">
        <f t="shared" ref="X20:Y32" si="13">L20*(V20/(V20-0.0000001))</f>
        <v>0</v>
      </c>
      <c r="Y20" s="30">
        <v>0</v>
      </c>
      <c r="Z20" s="130"/>
    </row>
    <row r="21" spans="1:26" s="131" customFormat="1" ht="54.95" customHeight="1">
      <c r="A21" s="209">
        <v>25</v>
      </c>
      <c r="B21" s="280" t="s">
        <v>183</v>
      </c>
      <c r="C21" s="211">
        <v>1.2</v>
      </c>
      <c r="D21" s="212">
        <v>0</v>
      </c>
      <c r="E21" s="212">
        <v>0</v>
      </c>
      <c r="F21" s="212">
        <v>1</v>
      </c>
      <c r="G21" s="212">
        <v>0</v>
      </c>
      <c r="H21" s="212">
        <v>1</v>
      </c>
      <c r="I21" s="212">
        <v>1</v>
      </c>
      <c r="J21" s="213">
        <v>0</v>
      </c>
      <c r="K21" s="213">
        <v>0</v>
      </c>
      <c r="L21" s="213">
        <f t="shared" si="0"/>
        <v>0</v>
      </c>
      <c r="M21" s="214">
        <f t="shared" si="1"/>
        <v>0</v>
      </c>
      <c r="N21" s="122">
        <f t="shared" si="2"/>
        <v>0</v>
      </c>
      <c r="O21" s="122">
        <f t="shared" si="3"/>
        <v>0</v>
      </c>
      <c r="P21" s="122">
        <f t="shared" si="4"/>
        <v>0</v>
      </c>
      <c r="Q21" s="122">
        <f t="shared" si="5"/>
        <v>0</v>
      </c>
      <c r="R21" s="122">
        <f t="shared" si="6"/>
        <v>0</v>
      </c>
      <c r="S21" s="122">
        <f t="shared" si="7"/>
        <v>0</v>
      </c>
      <c r="T21" s="122">
        <f t="shared" si="8"/>
        <v>0</v>
      </c>
      <c r="U21" s="122">
        <f t="shared" si="9"/>
        <v>0</v>
      </c>
      <c r="V21" s="30">
        <f t="shared" si="10"/>
        <v>0</v>
      </c>
      <c r="W21" s="30">
        <f t="shared" si="11"/>
        <v>0</v>
      </c>
      <c r="X21" s="30">
        <f t="shared" si="13"/>
        <v>0</v>
      </c>
      <c r="Y21" s="30">
        <v>0</v>
      </c>
      <c r="Z21" s="130"/>
    </row>
    <row r="22" spans="1:26" s="131" customFormat="1" ht="54.95" customHeight="1">
      <c r="A22" s="209">
        <v>26</v>
      </c>
      <c r="B22" s="280" t="s">
        <v>184</v>
      </c>
      <c r="C22" s="211">
        <v>1</v>
      </c>
      <c r="D22" s="212">
        <v>0</v>
      </c>
      <c r="E22" s="212">
        <v>0</v>
      </c>
      <c r="F22" s="212">
        <v>1</v>
      </c>
      <c r="G22" s="212">
        <v>0</v>
      </c>
      <c r="H22" s="212">
        <v>1</v>
      </c>
      <c r="I22" s="212">
        <v>1</v>
      </c>
      <c r="J22" s="213">
        <v>0</v>
      </c>
      <c r="K22" s="213">
        <v>0</v>
      </c>
      <c r="L22" s="213">
        <f t="shared" si="0"/>
        <v>0</v>
      </c>
      <c r="M22" s="214">
        <f t="shared" si="1"/>
        <v>0</v>
      </c>
      <c r="N22" s="122">
        <f t="shared" si="2"/>
        <v>0</v>
      </c>
      <c r="O22" s="122">
        <f t="shared" si="3"/>
        <v>0</v>
      </c>
      <c r="P22" s="122">
        <f t="shared" si="4"/>
        <v>0</v>
      </c>
      <c r="Q22" s="122">
        <f t="shared" si="5"/>
        <v>0</v>
      </c>
      <c r="R22" s="122">
        <f t="shared" si="6"/>
        <v>0</v>
      </c>
      <c r="S22" s="122">
        <f t="shared" si="7"/>
        <v>0</v>
      </c>
      <c r="T22" s="122">
        <f t="shared" si="8"/>
        <v>0</v>
      </c>
      <c r="U22" s="122">
        <f t="shared" si="9"/>
        <v>0</v>
      </c>
      <c r="V22" s="30">
        <f t="shared" si="10"/>
        <v>0</v>
      </c>
      <c r="W22" s="30">
        <f t="shared" si="11"/>
        <v>0</v>
      </c>
      <c r="X22" s="30">
        <f t="shared" si="13"/>
        <v>0</v>
      </c>
      <c r="Y22" s="30">
        <v>0</v>
      </c>
      <c r="Z22" s="130"/>
    </row>
    <row r="23" spans="1:26" s="131" customFormat="1" ht="54.95" customHeight="1">
      <c r="A23" s="209">
        <v>27</v>
      </c>
      <c r="B23" s="280" t="s">
        <v>185</v>
      </c>
      <c r="C23" s="211">
        <v>0.7</v>
      </c>
      <c r="D23" s="212">
        <v>0</v>
      </c>
      <c r="E23" s="212">
        <v>0</v>
      </c>
      <c r="F23" s="212">
        <v>1</v>
      </c>
      <c r="G23" s="212">
        <v>0</v>
      </c>
      <c r="H23" s="212">
        <v>1</v>
      </c>
      <c r="I23" s="212">
        <v>1</v>
      </c>
      <c r="J23" s="213">
        <v>0</v>
      </c>
      <c r="K23" s="213">
        <v>0</v>
      </c>
      <c r="L23" s="213">
        <f t="shared" si="0"/>
        <v>0</v>
      </c>
      <c r="M23" s="214">
        <f t="shared" si="1"/>
        <v>0</v>
      </c>
      <c r="N23" s="122">
        <f t="shared" si="2"/>
        <v>0</v>
      </c>
      <c r="O23" s="122">
        <f t="shared" si="3"/>
        <v>0</v>
      </c>
      <c r="P23" s="122">
        <f t="shared" si="4"/>
        <v>0</v>
      </c>
      <c r="Q23" s="122">
        <f t="shared" si="5"/>
        <v>0</v>
      </c>
      <c r="R23" s="122">
        <f t="shared" si="6"/>
        <v>0</v>
      </c>
      <c r="S23" s="122">
        <f t="shared" si="7"/>
        <v>0</v>
      </c>
      <c r="T23" s="122">
        <f t="shared" si="8"/>
        <v>0</v>
      </c>
      <c r="U23" s="122">
        <f t="shared" si="9"/>
        <v>0</v>
      </c>
      <c r="V23" s="30">
        <f t="shared" si="10"/>
        <v>0</v>
      </c>
      <c r="W23" s="30">
        <f t="shared" si="11"/>
        <v>0</v>
      </c>
      <c r="X23" s="30">
        <f t="shared" si="13"/>
        <v>0</v>
      </c>
      <c r="Y23" s="30">
        <v>0</v>
      </c>
      <c r="Z23" s="130"/>
    </row>
    <row r="24" spans="1:26" s="131" customFormat="1" ht="54.95" customHeight="1">
      <c r="A24" s="209">
        <v>28</v>
      </c>
      <c r="B24" s="280" t="s">
        <v>186</v>
      </c>
      <c r="C24" s="211">
        <v>0.4</v>
      </c>
      <c r="D24" s="212">
        <v>0</v>
      </c>
      <c r="E24" s="212">
        <v>0</v>
      </c>
      <c r="F24" s="212">
        <v>1</v>
      </c>
      <c r="G24" s="212">
        <v>0</v>
      </c>
      <c r="H24" s="212">
        <v>1</v>
      </c>
      <c r="I24" s="212">
        <v>1</v>
      </c>
      <c r="J24" s="213">
        <v>0</v>
      </c>
      <c r="K24" s="213">
        <v>0</v>
      </c>
      <c r="L24" s="213">
        <f t="shared" si="0"/>
        <v>0</v>
      </c>
      <c r="M24" s="214">
        <f t="shared" si="1"/>
        <v>0</v>
      </c>
      <c r="N24" s="122">
        <f t="shared" si="2"/>
        <v>0</v>
      </c>
      <c r="O24" s="122">
        <f t="shared" si="3"/>
        <v>0</v>
      </c>
      <c r="P24" s="122">
        <f t="shared" si="4"/>
        <v>0</v>
      </c>
      <c r="Q24" s="122">
        <f t="shared" si="5"/>
        <v>0</v>
      </c>
      <c r="R24" s="122">
        <f t="shared" si="6"/>
        <v>0</v>
      </c>
      <c r="S24" s="122">
        <f t="shared" si="7"/>
        <v>0</v>
      </c>
      <c r="T24" s="122">
        <f t="shared" si="8"/>
        <v>0</v>
      </c>
      <c r="U24" s="122">
        <f t="shared" si="9"/>
        <v>0</v>
      </c>
      <c r="V24" s="30">
        <f t="shared" si="10"/>
        <v>0</v>
      </c>
      <c r="W24" s="30">
        <f t="shared" si="11"/>
        <v>0</v>
      </c>
      <c r="X24" s="30">
        <f t="shared" si="13"/>
        <v>0</v>
      </c>
      <c r="Y24" s="30">
        <v>0</v>
      </c>
      <c r="Z24" s="130"/>
    </row>
    <row r="25" spans="1:26" s="131" customFormat="1" ht="54.95" customHeight="1">
      <c r="A25" s="209">
        <v>29</v>
      </c>
      <c r="B25" s="280" t="s">
        <v>187</v>
      </c>
      <c r="C25" s="211">
        <v>2</v>
      </c>
      <c r="D25" s="212">
        <v>0</v>
      </c>
      <c r="E25" s="212">
        <v>1</v>
      </c>
      <c r="F25" s="212">
        <v>0</v>
      </c>
      <c r="G25" s="212">
        <v>1</v>
      </c>
      <c r="H25" s="212">
        <v>4</v>
      </c>
      <c r="I25" s="212">
        <v>4</v>
      </c>
      <c r="J25" s="213">
        <v>0</v>
      </c>
      <c r="K25" s="213">
        <v>0</v>
      </c>
      <c r="L25" s="213">
        <f t="shared" si="0"/>
        <v>0</v>
      </c>
      <c r="M25" s="214">
        <f t="shared" si="1"/>
        <v>0</v>
      </c>
      <c r="N25" s="122">
        <f t="shared" si="2"/>
        <v>0</v>
      </c>
      <c r="O25" s="122">
        <f t="shared" si="3"/>
        <v>0</v>
      </c>
      <c r="P25" s="122">
        <f t="shared" si="4"/>
        <v>0</v>
      </c>
      <c r="Q25" s="122">
        <f t="shared" si="5"/>
        <v>0</v>
      </c>
      <c r="R25" s="122">
        <f t="shared" si="6"/>
        <v>0</v>
      </c>
      <c r="S25" s="122">
        <f t="shared" si="7"/>
        <v>0</v>
      </c>
      <c r="T25" s="122">
        <f t="shared" si="8"/>
        <v>0</v>
      </c>
      <c r="U25" s="122">
        <f t="shared" si="9"/>
        <v>0</v>
      </c>
      <c r="V25" s="30">
        <f t="shared" si="10"/>
        <v>0</v>
      </c>
      <c r="W25" s="30">
        <f t="shared" si="11"/>
        <v>0</v>
      </c>
      <c r="X25" s="30">
        <f t="shared" si="13"/>
        <v>0</v>
      </c>
      <c r="Y25" s="30">
        <f t="shared" si="13"/>
        <v>0</v>
      </c>
      <c r="Z25" s="130"/>
    </row>
    <row r="26" spans="1:26" s="131" customFormat="1" ht="54.95" customHeight="1">
      <c r="A26" s="209">
        <v>30</v>
      </c>
      <c r="B26" s="280" t="s">
        <v>188</v>
      </c>
      <c r="C26" s="211">
        <v>2.5</v>
      </c>
      <c r="D26" s="212">
        <v>0</v>
      </c>
      <c r="E26" s="212">
        <v>1</v>
      </c>
      <c r="F26" s="212">
        <v>0</v>
      </c>
      <c r="G26" s="212">
        <v>0</v>
      </c>
      <c r="H26" s="212">
        <v>4</v>
      </c>
      <c r="I26" s="212">
        <v>3</v>
      </c>
      <c r="J26" s="213">
        <v>0</v>
      </c>
      <c r="K26" s="213">
        <v>0</v>
      </c>
      <c r="L26" s="213">
        <f t="shared" si="0"/>
        <v>0</v>
      </c>
      <c r="M26" s="214">
        <f t="shared" si="1"/>
        <v>0</v>
      </c>
      <c r="N26" s="122">
        <f t="shared" si="2"/>
        <v>0</v>
      </c>
      <c r="O26" s="122">
        <f t="shared" si="3"/>
        <v>0</v>
      </c>
      <c r="P26" s="122">
        <f t="shared" si="4"/>
        <v>0</v>
      </c>
      <c r="Q26" s="122">
        <f t="shared" si="5"/>
        <v>0</v>
      </c>
      <c r="R26" s="122">
        <f t="shared" si="6"/>
        <v>0</v>
      </c>
      <c r="S26" s="122">
        <f t="shared" si="7"/>
        <v>0</v>
      </c>
      <c r="T26" s="122">
        <f t="shared" si="8"/>
        <v>0</v>
      </c>
      <c r="U26" s="122">
        <f t="shared" si="9"/>
        <v>0</v>
      </c>
      <c r="V26" s="30">
        <f t="shared" si="10"/>
        <v>0</v>
      </c>
      <c r="W26" s="30">
        <f t="shared" si="11"/>
        <v>0</v>
      </c>
      <c r="X26" s="30">
        <f t="shared" si="13"/>
        <v>0</v>
      </c>
      <c r="Y26" s="30">
        <f t="shared" si="13"/>
        <v>0</v>
      </c>
      <c r="Z26" s="130"/>
    </row>
    <row r="27" spans="1:26" s="131" customFormat="1" ht="54.95" customHeight="1">
      <c r="A27" s="209">
        <v>31</v>
      </c>
      <c r="B27" s="280" t="s">
        <v>189</v>
      </c>
      <c r="C27" s="211">
        <v>1.8</v>
      </c>
      <c r="D27" s="212">
        <v>0</v>
      </c>
      <c r="E27" s="212">
        <v>1</v>
      </c>
      <c r="F27" s="212">
        <v>1</v>
      </c>
      <c r="G27" s="212">
        <v>0</v>
      </c>
      <c r="H27" s="212">
        <v>3</v>
      </c>
      <c r="I27" s="212">
        <v>2</v>
      </c>
      <c r="J27" s="213">
        <v>0</v>
      </c>
      <c r="K27" s="213">
        <v>0</v>
      </c>
      <c r="L27" s="213">
        <f t="shared" si="0"/>
        <v>0</v>
      </c>
      <c r="M27" s="214">
        <f t="shared" si="1"/>
        <v>0</v>
      </c>
      <c r="N27" s="122">
        <f t="shared" si="2"/>
        <v>0</v>
      </c>
      <c r="O27" s="122">
        <f t="shared" si="3"/>
        <v>0</v>
      </c>
      <c r="P27" s="122">
        <f t="shared" si="4"/>
        <v>0</v>
      </c>
      <c r="Q27" s="122">
        <f t="shared" si="5"/>
        <v>0</v>
      </c>
      <c r="R27" s="122">
        <f t="shared" si="6"/>
        <v>0</v>
      </c>
      <c r="S27" s="122">
        <f t="shared" si="7"/>
        <v>0</v>
      </c>
      <c r="T27" s="122">
        <f t="shared" si="8"/>
        <v>0</v>
      </c>
      <c r="U27" s="122">
        <f t="shared" si="9"/>
        <v>0</v>
      </c>
      <c r="V27" s="30">
        <f t="shared" si="10"/>
        <v>0</v>
      </c>
      <c r="W27" s="30">
        <f t="shared" si="11"/>
        <v>0</v>
      </c>
      <c r="X27" s="30">
        <f t="shared" si="13"/>
        <v>0</v>
      </c>
      <c r="Y27" s="30">
        <f t="shared" si="13"/>
        <v>0</v>
      </c>
      <c r="Z27" s="130"/>
    </row>
    <row r="28" spans="1:26" s="131" customFormat="1" ht="54.95" customHeight="1">
      <c r="A28" s="209">
        <v>32</v>
      </c>
      <c r="B28" s="280" t="s">
        <v>190</v>
      </c>
      <c r="C28" s="211">
        <v>1.1000000000000001</v>
      </c>
      <c r="D28" s="212">
        <v>0</v>
      </c>
      <c r="E28" s="212">
        <v>1</v>
      </c>
      <c r="F28" s="212">
        <v>0</v>
      </c>
      <c r="G28" s="212">
        <v>0</v>
      </c>
      <c r="H28" s="212">
        <v>2</v>
      </c>
      <c r="I28" s="212">
        <v>3</v>
      </c>
      <c r="J28" s="213">
        <v>0</v>
      </c>
      <c r="K28" s="213">
        <v>0</v>
      </c>
      <c r="L28" s="213">
        <f t="shared" si="0"/>
        <v>0</v>
      </c>
      <c r="M28" s="214">
        <f t="shared" si="1"/>
        <v>0</v>
      </c>
      <c r="N28" s="122">
        <f t="shared" si="2"/>
        <v>0</v>
      </c>
      <c r="O28" s="122">
        <f t="shared" si="3"/>
        <v>0</v>
      </c>
      <c r="P28" s="122">
        <f t="shared" si="4"/>
        <v>0</v>
      </c>
      <c r="Q28" s="122">
        <f t="shared" si="5"/>
        <v>0</v>
      </c>
      <c r="R28" s="122">
        <f t="shared" si="6"/>
        <v>0</v>
      </c>
      <c r="S28" s="122">
        <f t="shared" si="7"/>
        <v>0</v>
      </c>
      <c r="T28" s="122">
        <f t="shared" si="8"/>
        <v>0</v>
      </c>
      <c r="U28" s="122">
        <f t="shared" si="9"/>
        <v>0</v>
      </c>
      <c r="V28" s="30">
        <f t="shared" si="10"/>
        <v>0</v>
      </c>
      <c r="W28" s="30">
        <f t="shared" si="11"/>
        <v>0</v>
      </c>
      <c r="X28" s="30">
        <f t="shared" si="13"/>
        <v>0</v>
      </c>
      <c r="Y28" s="30">
        <f t="shared" si="13"/>
        <v>0</v>
      </c>
      <c r="Z28" s="130"/>
    </row>
    <row r="29" spans="1:26" s="131" customFormat="1" ht="54.95" customHeight="1">
      <c r="A29" s="209">
        <v>33</v>
      </c>
      <c r="B29" s="280" t="s">
        <v>191</v>
      </c>
      <c r="C29" s="211">
        <v>1.5</v>
      </c>
      <c r="D29" s="212">
        <v>0</v>
      </c>
      <c r="E29" s="212">
        <v>1</v>
      </c>
      <c r="F29" s="212">
        <v>0</v>
      </c>
      <c r="G29" s="212">
        <v>0</v>
      </c>
      <c r="H29" s="212">
        <v>3</v>
      </c>
      <c r="I29" s="212">
        <v>3</v>
      </c>
      <c r="J29" s="213">
        <v>0</v>
      </c>
      <c r="K29" s="213">
        <v>0</v>
      </c>
      <c r="L29" s="213">
        <f t="shared" si="0"/>
        <v>0</v>
      </c>
      <c r="M29" s="214">
        <f t="shared" si="1"/>
        <v>0</v>
      </c>
      <c r="N29" s="122">
        <f t="shared" si="2"/>
        <v>0</v>
      </c>
      <c r="O29" s="122">
        <f t="shared" si="3"/>
        <v>0</v>
      </c>
      <c r="P29" s="122">
        <f t="shared" si="4"/>
        <v>0</v>
      </c>
      <c r="Q29" s="122">
        <f t="shared" si="5"/>
        <v>0</v>
      </c>
      <c r="R29" s="122">
        <f t="shared" si="6"/>
        <v>0</v>
      </c>
      <c r="S29" s="122">
        <f t="shared" si="7"/>
        <v>0</v>
      </c>
      <c r="T29" s="122">
        <f t="shared" si="8"/>
        <v>0</v>
      </c>
      <c r="U29" s="122">
        <f t="shared" si="9"/>
        <v>0</v>
      </c>
      <c r="V29" s="30">
        <f t="shared" si="10"/>
        <v>0</v>
      </c>
      <c r="W29" s="30">
        <f t="shared" si="11"/>
        <v>0</v>
      </c>
      <c r="X29" s="30">
        <f t="shared" si="13"/>
        <v>0</v>
      </c>
      <c r="Y29" s="30">
        <f t="shared" si="13"/>
        <v>0</v>
      </c>
      <c r="Z29" s="130"/>
    </row>
    <row r="30" spans="1:26" s="131" customFormat="1" ht="54.95" customHeight="1">
      <c r="A30" s="209">
        <v>34</v>
      </c>
      <c r="B30" s="280" t="s">
        <v>192</v>
      </c>
      <c r="C30" s="211">
        <v>1.6</v>
      </c>
      <c r="D30" s="212">
        <v>0</v>
      </c>
      <c r="E30" s="212">
        <v>1</v>
      </c>
      <c r="F30" s="212">
        <v>0</v>
      </c>
      <c r="G30" s="212">
        <v>0</v>
      </c>
      <c r="H30" s="212">
        <v>4</v>
      </c>
      <c r="I30" s="212">
        <v>3</v>
      </c>
      <c r="J30" s="213">
        <v>0</v>
      </c>
      <c r="K30" s="213">
        <v>0</v>
      </c>
      <c r="L30" s="213">
        <f t="shared" si="0"/>
        <v>0</v>
      </c>
      <c r="M30" s="214">
        <f t="shared" si="1"/>
        <v>0</v>
      </c>
      <c r="N30" s="122">
        <f t="shared" si="2"/>
        <v>0</v>
      </c>
      <c r="O30" s="122">
        <f t="shared" si="3"/>
        <v>0</v>
      </c>
      <c r="P30" s="122">
        <f t="shared" si="4"/>
        <v>0</v>
      </c>
      <c r="Q30" s="122">
        <f t="shared" si="5"/>
        <v>0</v>
      </c>
      <c r="R30" s="122">
        <f t="shared" si="6"/>
        <v>0</v>
      </c>
      <c r="S30" s="122">
        <f t="shared" si="7"/>
        <v>0</v>
      </c>
      <c r="T30" s="122">
        <f t="shared" si="8"/>
        <v>0</v>
      </c>
      <c r="U30" s="122">
        <f t="shared" si="9"/>
        <v>0</v>
      </c>
      <c r="V30" s="30">
        <f t="shared" si="10"/>
        <v>0</v>
      </c>
      <c r="W30" s="30">
        <f t="shared" si="11"/>
        <v>0</v>
      </c>
      <c r="X30" s="30">
        <f t="shared" si="13"/>
        <v>0</v>
      </c>
      <c r="Y30" s="30">
        <f t="shared" si="13"/>
        <v>0</v>
      </c>
      <c r="Z30" s="130"/>
    </row>
    <row r="31" spans="1:26" s="131" customFormat="1" ht="54.95" customHeight="1">
      <c r="A31" s="209">
        <v>35</v>
      </c>
      <c r="B31" s="280" t="s">
        <v>193</v>
      </c>
      <c r="C31" s="211">
        <v>1</v>
      </c>
      <c r="D31" s="212">
        <v>0</v>
      </c>
      <c r="E31" s="212">
        <v>1</v>
      </c>
      <c r="F31" s="212">
        <v>0</v>
      </c>
      <c r="G31" s="212">
        <v>0</v>
      </c>
      <c r="H31" s="212">
        <v>2</v>
      </c>
      <c r="I31" s="212">
        <v>3</v>
      </c>
      <c r="J31" s="213">
        <v>0</v>
      </c>
      <c r="K31" s="213">
        <v>0</v>
      </c>
      <c r="L31" s="213">
        <f t="shared" si="0"/>
        <v>0</v>
      </c>
      <c r="M31" s="214">
        <f t="shared" si="1"/>
        <v>0</v>
      </c>
      <c r="N31" s="122">
        <f t="shared" si="2"/>
        <v>0</v>
      </c>
      <c r="O31" s="122">
        <f t="shared" si="3"/>
        <v>0</v>
      </c>
      <c r="P31" s="122">
        <f t="shared" si="4"/>
        <v>0</v>
      </c>
      <c r="Q31" s="122">
        <f t="shared" si="5"/>
        <v>0</v>
      </c>
      <c r="R31" s="122">
        <f t="shared" si="6"/>
        <v>0</v>
      </c>
      <c r="S31" s="122">
        <f t="shared" si="7"/>
        <v>0</v>
      </c>
      <c r="T31" s="122">
        <f t="shared" si="8"/>
        <v>0</v>
      </c>
      <c r="U31" s="122">
        <f t="shared" si="9"/>
        <v>0</v>
      </c>
      <c r="V31" s="30">
        <f t="shared" si="10"/>
        <v>0</v>
      </c>
      <c r="W31" s="30">
        <f t="shared" si="11"/>
        <v>0</v>
      </c>
      <c r="X31" s="30">
        <f t="shared" si="13"/>
        <v>0</v>
      </c>
      <c r="Y31" s="30">
        <f t="shared" si="13"/>
        <v>0</v>
      </c>
      <c r="Z31" s="130"/>
    </row>
    <row r="32" spans="1:26" s="131" customFormat="1" ht="54.95" customHeight="1">
      <c r="A32" s="209">
        <v>36</v>
      </c>
      <c r="B32" s="280" t="s">
        <v>1397</v>
      </c>
      <c r="C32" s="211">
        <v>0.4</v>
      </c>
      <c r="D32" s="212">
        <v>0</v>
      </c>
      <c r="E32" s="212">
        <v>1</v>
      </c>
      <c r="F32" s="212">
        <v>0</v>
      </c>
      <c r="G32" s="212">
        <v>0</v>
      </c>
      <c r="H32" s="212">
        <v>1</v>
      </c>
      <c r="I32" s="212">
        <v>1</v>
      </c>
      <c r="J32" s="213">
        <v>0</v>
      </c>
      <c r="K32" s="213">
        <v>0</v>
      </c>
      <c r="L32" s="213">
        <f t="shared" si="0"/>
        <v>0</v>
      </c>
      <c r="M32" s="214">
        <f t="shared" si="1"/>
        <v>0</v>
      </c>
      <c r="N32" s="122">
        <f t="shared" si="2"/>
        <v>0</v>
      </c>
      <c r="O32" s="122">
        <f t="shared" si="3"/>
        <v>0</v>
      </c>
      <c r="P32" s="122">
        <f t="shared" si="4"/>
        <v>0</v>
      </c>
      <c r="Q32" s="122">
        <f t="shared" si="5"/>
        <v>0</v>
      </c>
      <c r="R32" s="122">
        <f t="shared" si="6"/>
        <v>0</v>
      </c>
      <c r="S32" s="122">
        <f t="shared" si="7"/>
        <v>0</v>
      </c>
      <c r="T32" s="122">
        <f t="shared" si="8"/>
        <v>0</v>
      </c>
      <c r="U32" s="122">
        <f t="shared" si="9"/>
        <v>0</v>
      </c>
      <c r="V32" s="30">
        <f t="shared" si="10"/>
        <v>0</v>
      </c>
      <c r="W32" s="30">
        <f t="shared" si="11"/>
        <v>0</v>
      </c>
      <c r="X32" s="30">
        <f t="shared" si="13"/>
        <v>0</v>
      </c>
      <c r="Y32" s="30">
        <v>0</v>
      </c>
      <c r="Z32" s="130"/>
    </row>
    <row r="33" spans="1:26" s="2" customFormat="1" ht="54.95" customHeight="1">
      <c r="A33" s="377" t="s">
        <v>158</v>
      </c>
      <c r="B33" s="377"/>
      <c r="C33" s="378" t="s">
        <v>99</v>
      </c>
      <c r="D33" s="378"/>
      <c r="E33" s="378"/>
      <c r="F33" s="378"/>
      <c r="G33" s="378"/>
      <c r="H33" s="378"/>
      <c r="I33" s="378"/>
      <c r="J33" s="378"/>
      <c r="K33" s="378"/>
      <c r="L33" s="239">
        <f t="shared" ref="L33:Y33" si="14">SUM(L4:L32)</f>
        <v>0</v>
      </c>
      <c r="M33" s="239">
        <f t="shared" si="14"/>
        <v>0</v>
      </c>
      <c r="N33" s="132">
        <f t="shared" si="14"/>
        <v>0</v>
      </c>
      <c r="O33" s="132">
        <f t="shared" si="14"/>
        <v>0</v>
      </c>
      <c r="P33" s="132">
        <f t="shared" si="14"/>
        <v>0</v>
      </c>
      <c r="Q33" s="132">
        <f t="shared" si="14"/>
        <v>0</v>
      </c>
      <c r="R33" s="132">
        <f t="shared" si="14"/>
        <v>0</v>
      </c>
      <c r="S33" s="132">
        <f t="shared" si="14"/>
        <v>0</v>
      </c>
      <c r="T33" s="132">
        <f t="shared" si="14"/>
        <v>0</v>
      </c>
      <c r="U33" s="132">
        <f t="shared" si="14"/>
        <v>0</v>
      </c>
      <c r="V33" s="132">
        <f t="shared" si="14"/>
        <v>0</v>
      </c>
      <c r="W33" s="132">
        <f t="shared" si="14"/>
        <v>0</v>
      </c>
      <c r="X33" s="132">
        <f t="shared" si="14"/>
        <v>0</v>
      </c>
      <c r="Y33" s="132">
        <f t="shared" si="14"/>
        <v>0</v>
      </c>
    </row>
    <row r="34" spans="1:26" s="2" customFormat="1" ht="54.95" customHeight="1">
      <c r="A34" s="379" t="s">
        <v>160</v>
      </c>
      <c r="B34" s="379"/>
      <c r="C34" s="379"/>
      <c r="D34" s="379"/>
      <c r="E34" s="379"/>
      <c r="F34" s="379"/>
      <c r="G34" s="379"/>
      <c r="H34" s="379"/>
      <c r="I34" s="379"/>
      <c r="J34" s="379"/>
      <c r="K34" s="379"/>
      <c r="L34" s="379"/>
      <c r="M34" s="299">
        <v>1.2</v>
      </c>
      <c r="N34" s="29"/>
      <c r="O34" s="29"/>
      <c r="P34" s="29"/>
      <c r="Q34" s="29"/>
      <c r="R34" s="29"/>
      <c r="S34" s="29"/>
      <c r="T34" s="29"/>
      <c r="U34" s="29"/>
      <c r="V34" s="29"/>
      <c r="W34" s="29"/>
      <c r="X34" s="30"/>
      <c r="Y34" s="30"/>
      <c r="Z34" s="124"/>
    </row>
    <row r="35" spans="1:26" s="2" customFormat="1" ht="54.95" customHeight="1">
      <c r="A35" s="3"/>
      <c r="B35" s="3"/>
      <c r="C35" s="125"/>
      <c r="D35" s="126"/>
      <c r="E35" s="126"/>
      <c r="F35" s="126"/>
      <c r="G35" s="126"/>
      <c r="H35" s="126"/>
      <c r="I35" s="126"/>
      <c r="J35" s="3"/>
      <c r="K35" s="3"/>
      <c r="L35" s="3"/>
      <c r="N35" s="29"/>
      <c r="O35" s="29"/>
      <c r="P35" s="29"/>
      <c r="Q35" s="29"/>
      <c r="R35" s="29"/>
      <c r="S35" s="29"/>
      <c r="T35" s="29"/>
      <c r="U35" s="29"/>
      <c r="V35" s="29"/>
      <c r="W35" s="29"/>
      <c r="X35" s="30"/>
      <c r="Y35" s="30"/>
      <c r="Z35" s="121"/>
    </row>
    <row r="36" spans="1:26" s="2" customFormat="1" ht="54.95" customHeight="1">
      <c r="A36" s="3"/>
      <c r="B36" s="3"/>
      <c r="C36" s="125"/>
      <c r="D36" s="126"/>
      <c r="E36" s="126"/>
      <c r="F36" s="126"/>
      <c r="G36" s="126"/>
      <c r="H36" s="126"/>
      <c r="I36" s="126"/>
      <c r="J36" s="3"/>
      <c r="K36" s="3"/>
      <c r="L36" s="3"/>
      <c r="N36" s="29"/>
      <c r="O36" s="29"/>
      <c r="P36" s="29"/>
      <c r="Q36" s="29"/>
      <c r="R36" s="29"/>
      <c r="S36" s="29"/>
      <c r="T36" s="29"/>
      <c r="U36" s="29"/>
      <c r="V36" s="29"/>
      <c r="W36" s="29"/>
      <c r="X36" s="30"/>
      <c r="Y36" s="30"/>
      <c r="Z36" s="121"/>
    </row>
    <row r="37" spans="1:26" s="2" customFormat="1" ht="54.95" customHeight="1">
      <c r="A37" s="3"/>
      <c r="B37" s="3"/>
      <c r="C37" s="125"/>
      <c r="D37" s="126"/>
      <c r="E37" s="126"/>
      <c r="F37" s="126"/>
      <c r="G37" s="126"/>
      <c r="H37" s="126"/>
      <c r="I37" s="126"/>
      <c r="J37" s="3"/>
      <c r="K37" s="3"/>
      <c r="L37" s="3"/>
      <c r="N37" s="29"/>
      <c r="O37" s="29"/>
      <c r="P37" s="29"/>
      <c r="Q37" s="29"/>
      <c r="R37" s="29"/>
      <c r="S37" s="29"/>
      <c r="T37" s="29"/>
      <c r="U37" s="29"/>
      <c r="V37" s="29"/>
      <c r="W37" s="29"/>
      <c r="X37" s="30"/>
      <c r="Y37" s="30"/>
      <c r="Z37" s="121"/>
    </row>
    <row r="38" spans="1:26" s="2" customFormat="1" ht="54.95" customHeight="1">
      <c r="A38" s="3"/>
      <c r="B38" s="3"/>
      <c r="C38" s="125"/>
      <c r="D38" s="126"/>
      <c r="E38" s="126"/>
      <c r="F38" s="126"/>
      <c r="G38" s="126"/>
      <c r="H38" s="126"/>
      <c r="I38" s="126"/>
      <c r="J38" s="3"/>
      <c r="K38" s="3"/>
      <c r="L38" s="3"/>
      <c r="N38" s="29"/>
      <c r="O38" s="29"/>
      <c r="P38" s="29"/>
      <c r="Q38" s="29"/>
      <c r="R38" s="29"/>
      <c r="S38" s="29"/>
      <c r="T38" s="29"/>
      <c r="U38" s="29"/>
      <c r="V38" s="29"/>
      <c r="W38" s="29"/>
      <c r="X38" s="30"/>
      <c r="Y38" s="30"/>
      <c r="Z38" s="121"/>
    </row>
    <row r="39" spans="1:26" s="2" customFormat="1" ht="54.95" customHeight="1">
      <c r="A39" s="3"/>
      <c r="B39" s="3"/>
      <c r="C39" s="125"/>
      <c r="D39" s="126"/>
      <c r="E39" s="126"/>
      <c r="F39" s="126"/>
      <c r="G39" s="126"/>
      <c r="H39" s="126"/>
      <c r="I39" s="126"/>
      <c r="J39" s="3"/>
      <c r="K39" s="3"/>
      <c r="L39" s="3"/>
      <c r="N39" s="29"/>
      <c r="O39" s="29"/>
      <c r="P39" s="29"/>
      <c r="Q39" s="29"/>
      <c r="R39" s="29"/>
      <c r="S39" s="29"/>
      <c r="T39" s="29"/>
      <c r="U39" s="29"/>
      <c r="V39" s="29"/>
      <c r="W39" s="29"/>
      <c r="X39" s="30"/>
      <c r="Y39" s="30"/>
      <c r="Z39" s="121"/>
    </row>
    <row r="40" spans="1:26" s="2" customFormat="1" ht="54.95" customHeight="1">
      <c r="A40" s="3"/>
      <c r="B40" s="3"/>
      <c r="C40" s="125"/>
      <c r="D40" s="126"/>
      <c r="E40" s="126"/>
      <c r="F40" s="126"/>
      <c r="G40" s="126"/>
      <c r="H40" s="126"/>
      <c r="I40" s="126"/>
      <c r="J40" s="3"/>
      <c r="K40" s="3"/>
      <c r="L40" s="3"/>
      <c r="N40" s="29"/>
      <c r="O40" s="29"/>
      <c r="P40" s="29"/>
      <c r="Q40" s="29"/>
      <c r="R40" s="29"/>
      <c r="S40" s="29"/>
      <c r="T40" s="29"/>
      <c r="U40" s="29"/>
      <c r="V40" s="29"/>
      <c r="W40" s="29"/>
      <c r="X40" s="30"/>
      <c r="Y40" s="30"/>
      <c r="Z40" s="121"/>
    </row>
    <row r="41" spans="1:26" s="2" customFormat="1" ht="54.95" customHeight="1">
      <c r="A41" s="3"/>
      <c r="B41" s="3"/>
      <c r="C41" s="125"/>
      <c r="D41" s="126"/>
      <c r="E41" s="126"/>
      <c r="F41" s="126"/>
      <c r="G41" s="126"/>
      <c r="H41" s="126"/>
      <c r="I41" s="126"/>
      <c r="J41" s="3"/>
      <c r="K41" s="3"/>
      <c r="L41" s="3"/>
      <c r="N41" s="29"/>
      <c r="O41" s="29"/>
      <c r="P41" s="29"/>
      <c r="Q41" s="29"/>
      <c r="R41" s="29"/>
      <c r="S41" s="29"/>
      <c r="T41" s="29"/>
      <c r="U41" s="29"/>
      <c r="V41" s="29"/>
      <c r="W41" s="29"/>
      <c r="X41" s="30"/>
      <c r="Y41" s="30"/>
      <c r="Z41" s="121"/>
    </row>
    <row r="42" spans="1:26" s="2" customFormat="1" ht="54.95" customHeight="1">
      <c r="A42" s="3"/>
      <c r="B42" s="3"/>
      <c r="C42" s="125"/>
      <c r="D42" s="126"/>
      <c r="E42" s="126"/>
      <c r="F42" s="126"/>
      <c r="G42" s="126"/>
      <c r="H42" s="126"/>
      <c r="I42" s="126"/>
      <c r="J42" s="3"/>
      <c r="K42" s="3"/>
      <c r="L42" s="3"/>
      <c r="N42" s="29"/>
      <c r="O42" s="29"/>
      <c r="P42" s="29"/>
      <c r="Q42" s="29"/>
      <c r="R42" s="29"/>
      <c r="S42" s="29"/>
      <c r="T42" s="29"/>
      <c r="U42" s="29"/>
      <c r="V42" s="29"/>
      <c r="W42" s="29"/>
      <c r="X42" s="30"/>
      <c r="Y42" s="30"/>
      <c r="Z42" s="121"/>
    </row>
    <row r="43" spans="1:26" s="2" customFormat="1" ht="54.95" customHeight="1">
      <c r="A43" s="3"/>
      <c r="B43" s="3"/>
      <c r="C43" s="125"/>
      <c r="D43" s="126"/>
      <c r="E43" s="126"/>
      <c r="F43" s="126"/>
      <c r="G43" s="126"/>
      <c r="H43" s="126"/>
      <c r="I43" s="126"/>
      <c r="J43" s="3"/>
      <c r="K43" s="3"/>
      <c r="L43" s="3"/>
      <c r="N43" s="29"/>
      <c r="O43" s="29"/>
      <c r="P43" s="29"/>
      <c r="Q43" s="29"/>
      <c r="R43" s="29"/>
      <c r="S43" s="29"/>
      <c r="T43" s="29"/>
      <c r="U43" s="29"/>
      <c r="V43" s="29"/>
      <c r="W43" s="29"/>
      <c r="X43" s="30"/>
      <c r="Y43" s="30"/>
      <c r="Z43" s="121"/>
    </row>
    <row r="44" spans="1:26" s="2" customFormat="1" ht="54.95" customHeight="1">
      <c r="A44" s="3"/>
      <c r="B44" s="3"/>
      <c r="C44" s="125"/>
      <c r="D44" s="126"/>
      <c r="E44" s="126"/>
      <c r="F44" s="126"/>
      <c r="G44" s="126"/>
      <c r="H44" s="126"/>
      <c r="I44" s="126"/>
      <c r="J44" s="3"/>
      <c r="K44" s="3"/>
      <c r="L44" s="3"/>
      <c r="N44" s="29"/>
      <c r="O44" s="29"/>
      <c r="P44" s="29"/>
      <c r="Q44" s="29"/>
      <c r="R44" s="29"/>
      <c r="S44" s="29"/>
      <c r="T44" s="29"/>
      <c r="U44" s="29"/>
      <c r="V44" s="29"/>
      <c r="W44" s="29"/>
      <c r="X44" s="30"/>
      <c r="Y44" s="30"/>
      <c r="Z44" s="121"/>
    </row>
    <row r="45" spans="1:26" s="2" customFormat="1" ht="54.95" customHeight="1">
      <c r="A45" s="3"/>
      <c r="B45" s="3"/>
      <c r="C45" s="125"/>
      <c r="D45" s="126"/>
      <c r="E45" s="126"/>
      <c r="F45" s="126"/>
      <c r="G45" s="126"/>
      <c r="H45" s="126"/>
      <c r="I45" s="126"/>
      <c r="J45" s="3"/>
      <c r="K45" s="3"/>
      <c r="L45" s="3"/>
      <c r="N45" s="29"/>
      <c r="O45" s="29"/>
      <c r="P45" s="29"/>
      <c r="Q45" s="29"/>
      <c r="R45" s="29"/>
      <c r="S45" s="29"/>
      <c r="T45" s="29"/>
      <c r="U45" s="29"/>
      <c r="V45" s="29"/>
      <c r="W45" s="29"/>
      <c r="X45" s="30"/>
      <c r="Y45" s="30"/>
      <c r="Z45" s="121"/>
    </row>
    <row r="46" spans="1:26" s="2" customFormat="1" ht="54.95" customHeight="1">
      <c r="A46" s="3"/>
      <c r="B46" s="3"/>
      <c r="C46" s="125"/>
      <c r="D46" s="126"/>
      <c r="E46" s="126"/>
      <c r="F46" s="126"/>
      <c r="G46" s="126"/>
      <c r="H46" s="126"/>
      <c r="I46" s="126"/>
      <c r="J46" s="3"/>
      <c r="K46" s="3"/>
      <c r="L46" s="3"/>
      <c r="N46" s="29"/>
      <c r="O46" s="29"/>
      <c r="P46" s="29"/>
      <c r="Q46" s="29"/>
      <c r="R46" s="29"/>
      <c r="S46" s="29"/>
      <c r="T46" s="29"/>
      <c r="U46" s="29"/>
      <c r="V46" s="29"/>
      <c r="W46" s="29"/>
      <c r="X46" s="30"/>
      <c r="Y46" s="30"/>
      <c r="Z46" s="121"/>
    </row>
    <row r="47" spans="1:26" s="2" customFormat="1" ht="54.95" customHeight="1">
      <c r="A47" s="3"/>
      <c r="B47" s="3"/>
      <c r="C47" s="125"/>
      <c r="D47" s="126"/>
      <c r="E47" s="126"/>
      <c r="F47" s="126"/>
      <c r="G47" s="126"/>
      <c r="H47" s="126"/>
      <c r="I47" s="126"/>
      <c r="J47" s="3"/>
      <c r="K47" s="3"/>
      <c r="L47" s="3"/>
      <c r="N47" s="29"/>
      <c r="O47" s="29"/>
      <c r="P47" s="29"/>
      <c r="Q47" s="29"/>
      <c r="R47" s="29"/>
      <c r="S47" s="29"/>
      <c r="T47" s="29"/>
      <c r="U47" s="29"/>
      <c r="V47" s="29"/>
      <c r="W47" s="29"/>
      <c r="X47" s="30"/>
      <c r="Y47" s="30"/>
      <c r="Z47" s="121"/>
    </row>
    <row r="48" spans="1:26" s="2" customFormat="1" ht="54.95" customHeight="1">
      <c r="A48" s="3"/>
      <c r="B48" s="3"/>
      <c r="C48" s="125"/>
      <c r="D48" s="126"/>
      <c r="E48" s="126"/>
      <c r="F48" s="126"/>
      <c r="G48" s="126"/>
      <c r="H48" s="126"/>
      <c r="I48" s="126"/>
      <c r="J48" s="3"/>
      <c r="K48" s="3"/>
      <c r="L48" s="3"/>
      <c r="N48" s="29"/>
      <c r="O48" s="29"/>
      <c r="P48" s="29"/>
      <c r="Q48" s="29"/>
      <c r="R48" s="29"/>
      <c r="S48" s="29"/>
      <c r="T48" s="29"/>
      <c r="U48" s="29"/>
      <c r="V48" s="29"/>
      <c r="W48" s="29"/>
      <c r="X48" s="30"/>
      <c r="Y48" s="30"/>
      <c r="Z48" s="121"/>
    </row>
    <row r="49" spans="1:26" s="2" customFormat="1" ht="54.95" customHeight="1">
      <c r="A49" s="3"/>
      <c r="B49" s="3"/>
      <c r="C49" s="125"/>
      <c r="D49" s="126"/>
      <c r="E49" s="126"/>
      <c r="F49" s="126"/>
      <c r="G49" s="126"/>
      <c r="H49" s="126"/>
      <c r="I49" s="126"/>
      <c r="J49" s="3"/>
      <c r="K49" s="3"/>
      <c r="L49" s="3"/>
      <c r="N49" s="29"/>
      <c r="O49" s="29"/>
      <c r="P49" s="29"/>
      <c r="Q49" s="29"/>
      <c r="R49" s="29"/>
      <c r="S49" s="29"/>
      <c r="T49" s="29"/>
      <c r="U49" s="29"/>
      <c r="V49" s="29"/>
      <c r="W49" s="29"/>
      <c r="X49" s="30"/>
      <c r="Y49" s="30"/>
      <c r="Z49" s="121"/>
    </row>
    <row r="50" spans="1:26" s="2" customFormat="1" ht="54.95" customHeight="1">
      <c r="A50" s="3"/>
      <c r="B50" s="3"/>
      <c r="C50" s="125"/>
      <c r="D50" s="126"/>
      <c r="E50" s="126"/>
      <c r="F50" s="126"/>
      <c r="G50" s="126"/>
      <c r="H50" s="126"/>
      <c r="I50" s="126"/>
      <c r="J50" s="3"/>
      <c r="K50" s="3"/>
      <c r="L50" s="3"/>
      <c r="N50" s="29"/>
      <c r="O50" s="29"/>
      <c r="P50" s="29"/>
      <c r="Q50" s="29"/>
      <c r="R50" s="29"/>
      <c r="S50" s="29"/>
      <c r="T50" s="29"/>
      <c r="U50" s="29"/>
      <c r="V50" s="29"/>
      <c r="W50" s="29"/>
      <c r="X50" s="30"/>
      <c r="Y50" s="30"/>
      <c r="Z50" s="121"/>
    </row>
    <row r="51" spans="1:26" s="2" customFormat="1" ht="54.95" customHeight="1">
      <c r="A51" s="3"/>
      <c r="B51" s="3"/>
      <c r="C51" s="125"/>
      <c r="D51" s="126"/>
      <c r="E51" s="126"/>
      <c r="F51" s="126"/>
      <c r="G51" s="126"/>
      <c r="H51" s="126"/>
      <c r="I51" s="126"/>
      <c r="J51" s="3"/>
      <c r="K51" s="3"/>
      <c r="L51" s="3"/>
      <c r="N51" s="29"/>
      <c r="O51" s="29"/>
      <c r="P51" s="29"/>
      <c r="Q51" s="29"/>
      <c r="R51" s="29"/>
      <c r="S51" s="29"/>
      <c r="T51" s="29"/>
      <c r="U51" s="29"/>
      <c r="V51" s="29"/>
      <c r="W51" s="29"/>
      <c r="X51" s="30"/>
      <c r="Y51" s="30"/>
      <c r="Z51" s="121"/>
    </row>
    <row r="52" spans="1:26" s="2" customFormat="1" ht="54.95" customHeight="1">
      <c r="A52" s="3"/>
      <c r="B52" s="3"/>
      <c r="C52" s="125"/>
      <c r="D52" s="126"/>
      <c r="E52" s="126"/>
      <c r="F52" s="126"/>
      <c r="G52" s="126"/>
      <c r="H52" s="126"/>
      <c r="I52" s="126"/>
      <c r="J52" s="3"/>
      <c r="K52" s="3"/>
      <c r="L52" s="3"/>
      <c r="N52" s="29"/>
      <c r="O52" s="29"/>
      <c r="P52" s="29"/>
      <c r="Q52" s="29"/>
      <c r="R52" s="29"/>
      <c r="S52" s="29"/>
      <c r="T52" s="29"/>
      <c r="U52" s="29"/>
      <c r="V52" s="29"/>
      <c r="W52" s="29"/>
      <c r="X52" s="30"/>
      <c r="Y52" s="30"/>
      <c r="Z52" s="121"/>
    </row>
    <row r="53" spans="1:26" s="2" customFormat="1" ht="54.95" customHeight="1">
      <c r="A53" s="3"/>
      <c r="B53" s="3"/>
      <c r="C53" s="125"/>
      <c r="D53" s="126"/>
      <c r="E53" s="126"/>
      <c r="F53" s="126"/>
      <c r="G53" s="126"/>
      <c r="H53" s="126"/>
      <c r="I53" s="126"/>
      <c r="J53" s="3"/>
      <c r="K53" s="3"/>
      <c r="L53" s="3"/>
      <c r="N53" s="29"/>
      <c r="O53" s="29"/>
      <c r="P53" s="29"/>
      <c r="Q53" s="29"/>
      <c r="R53" s="29"/>
      <c r="S53" s="29"/>
      <c r="T53" s="29"/>
      <c r="U53" s="29"/>
      <c r="V53" s="29"/>
      <c r="W53" s="29"/>
      <c r="X53" s="30"/>
      <c r="Y53" s="30"/>
      <c r="Z53" s="121"/>
    </row>
    <row r="54" spans="1:26" s="2" customFormat="1" ht="54.95" customHeight="1">
      <c r="A54" s="3"/>
      <c r="B54" s="3"/>
      <c r="C54" s="125"/>
      <c r="D54" s="126"/>
      <c r="E54" s="126"/>
      <c r="F54" s="126"/>
      <c r="G54" s="126"/>
      <c r="H54" s="126"/>
      <c r="I54" s="126"/>
      <c r="J54" s="3"/>
      <c r="K54" s="3"/>
      <c r="L54" s="3"/>
      <c r="N54" s="29"/>
      <c r="O54" s="29"/>
      <c r="P54" s="29"/>
      <c r="Q54" s="29"/>
      <c r="R54" s="29"/>
      <c r="S54" s="29"/>
      <c r="T54" s="29"/>
      <c r="U54" s="29"/>
      <c r="V54" s="29"/>
      <c r="W54" s="29"/>
      <c r="X54" s="30"/>
      <c r="Y54" s="30"/>
      <c r="Z54" s="121"/>
    </row>
    <row r="55" spans="1:26" s="2" customFormat="1" ht="54.95" customHeight="1">
      <c r="A55" s="3"/>
      <c r="B55" s="3"/>
      <c r="C55" s="125"/>
      <c r="D55" s="126"/>
      <c r="E55" s="126"/>
      <c r="F55" s="126"/>
      <c r="G55" s="126"/>
      <c r="H55" s="126"/>
      <c r="I55" s="126"/>
      <c r="J55" s="3"/>
      <c r="K55" s="3"/>
      <c r="L55" s="3"/>
      <c r="N55" s="29"/>
      <c r="O55" s="29"/>
      <c r="P55" s="29"/>
      <c r="Q55" s="29"/>
      <c r="R55" s="29"/>
      <c r="S55" s="29"/>
      <c r="T55" s="29"/>
      <c r="U55" s="29"/>
      <c r="V55" s="29"/>
      <c r="W55" s="29"/>
      <c r="X55" s="30"/>
      <c r="Y55" s="30"/>
      <c r="Z55" s="121"/>
    </row>
    <row r="56" spans="1:26" s="2" customFormat="1" ht="54.95" customHeight="1">
      <c r="A56" s="3"/>
      <c r="B56" s="3"/>
      <c r="C56" s="125"/>
      <c r="D56" s="126"/>
      <c r="E56" s="126"/>
      <c r="F56" s="126"/>
      <c r="G56" s="126"/>
      <c r="H56" s="126"/>
      <c r="I56" s="126"/>
      <c r="J56" s="3"/>
      <c r="K56" s="3"/>
      <c r="L56" s="3"/>
      <c r="N56" s="29"/>
      <c r="O56" s="29"/>
      <c r="P56" s="29"/>
      <c r="Q56" s="29"/>
      <c r="R56" s="29"/>
      <c r="S56" s="29"/>
      <c r="T56" s="29"/>
      <c r="U56" s="29"/>
      <c r="V56" s="29"/>
      <c r="W56" s="29"/>
      <c r="X56" s="30"/>
      <c r="Y56" s="30"/>
      <c r="Z56" s="121"/>
    </row>
    <row r="57" spans="1:26" ht="54.95" customHeight="1"/>
    <row r="58" spans="1:26" ht="54.95" customHeight="1"/>
    <row r="59" spans="1:26" ht="54.95" customHeight="1"/>
    <row r="60" spans="1:26" ht="54.95" customHeight="1"/>
    <row r="61" spans="1:26" ht="54.95" customHeight="1"/>
    <row r="62" spans="1:26" ht="54.95" customHeight="1"/>
    <row r="63" spans="1:26" ht="54.95" customHeight="1"/>
    <row r="64" spans="1:26" ht="54.95" customHeight="1"/>
    <row r="65" ht="54.95" customHeight="1"/>
    <row r="66" ht="54.95" customHeight="1"/>
    <row r="67" ht="54.95" customHeight="1"/>
    <row r="68" ht="54.95" customHeight="1"/>
    <row r="69" ht="54.95" customHeight="1"/>
    <row r="70" ht="54.95" customHeight="1"/>
    <row r="71" ht="54.95" customHeight="1"/>
    <row r="72" ht="54.95" customHeight="1"/>
    <row r="73" ht="54.95" customHeight="1"/>
    <row r="74" ht="54.95" customHeight="1"/>
    <row r="75" ht="54.95" customHeight="1"/>
    <row r="76" ht="54.95" customHeight="1"/>
    <row r="77" ht="54.95" customHeight="1"/>
    <row r="78" ht="54.95" customHeight="1"/>
    <row r="79" ht="54.95" customHeight="1"/>
    <row r="80" ht="54.95" customHeight="1"/>
    <row r="81" ht="54.95" customHeight="1"/>
    <row r="82" ht="54.95" customHeight="1"/>
    <row r="83" ht="54.95" customHeight="1"/>
    <row r="84" ht="54.95" customHeight="1"/>
    <row r="85" ht="54.95" customHeight="1"/>
    <row r="86" ht="54.95" customHeight="1"/>
    <row r="87" ht="54.95" customHeight="1"/>
    <row r="88" ht="54.95" customHeight="1"/>
    <row r="89" ht="54.95" customHeight="1"/>
    <row r="90" ht="54.95" customHeight="1"/>
    <row r="91" ht="54.95" customHeight="1"/>
    <row r="92" ht="54.95" customHeight="1"/>
    <row r="93" ht="54.95" customHeight="1"/>
    <row r="94" ht="54.95" customHeight="1"/>
    <row r="95" ht="54.95" customHeight="1"/>
    <row r="96" ht="54.95" customHeight="1"/>
    <row r="97" ht="54.95" customHeight="1"/>
    <row r="98" ht="54.95" customHeight="1"/>
    <row r="99" ht="54.95" customHeight="1"/>
    <row r="100" ht="54.95" customHeight="1"/>
    <row r="101" ht="54.95" customHeight="1"/>
    <row r="102" ht="54.95" customHeight="1"/>
    <row r="103" ht="54.95" customHeight="1"/>
    <row r="104" ht="54.95" customHeight="1"/>
    <row r="105" ht="54.95" customHeight="1"/>
    <row r="106" ht="54.95" customHeight="1"/>
    <row r="107" ht="54.95" customHeight="1"/>
    <row r="108" ht="54.95" customHeight="1"/>
    <row r="109" ht="54.95" customHeight="1"/>
    <row r="110" ht="54.95" customHeight="1"/>
    <row r="111" ht="54.95" customHeight="1"/>
    <row r="112" ht="54.95" customHeight="1"/>
    <row r="113" ht="54.95" customHeight="1"/>
    <row r="114" ht="54.95" customHeight="1"/>
    <row r="115" ht="54.95" customHeight="1"/>
    <row r="116" ht="54.95" customHeight="1"/>
    <row r="117" ht="54.95" customHeight="1"/>
    <row r="118" ht="54.95" customHeight="1"/>
    <row r="119" ht="54.95" customHeight="1"/>
    <row r="120" ht="54.95" customHeight="1"/>
    <row r="121" ht="54.95" customHeight="1"/>
    <row r="122" ht="54.95" customHeight="1"/>
    <row r="123" ht="54.95" customHeight="1"/>
    <row r="124" ht="54.95" customHeight="1"/>
    <row r="125" ht="54.95" customHeight="1"/>
    <row r="126" ht="54.95" customHeight="1"/>
    <row r="127" ht="54.95" customHeight="1"/>
    <row r="128" ht="54.95" customHeight="1"/>
    <row r="129" ht="54.95" customHeight="1"/>
    <row r="130" ht="54.95" customHeight="1"/>
    <row r="131" ht="54.95" customHeight="1"/>
    <row r="132" ht="54.95" customHeight="1"/>
    <row r="133" ht="54.95" customHeight="1"/>
    <row r="134" ht="54.95" customHeight="1"/>
    <row r="135" ht="54.95" customHeight="1"/>
    <row r="136" ht="54.95" customHeight="1"/>
    <row r="137" ht="54.95" customHeight="1"/>
    <row r="138" ht="54.95" customHeight="1"/>
    <row r="139" ht="54.95" customHeight="1"/>
    <row r="140" ht="54.95" customHeight="1"/>
    <row r="141" ht="54.95" customHeight="1"/>
    <row r="142" ht="54.95" customHeight="1"/>
    <row r="143" ht="54.95" customHeight="1"/>
    <row r="144" ht="54.95" customHeight="1"/>
    <row r="145" ht="54.95" customHeight="1"/>
    <row r="146" ht="54.95" customHeight="1"/>
    <row r="147" ht="54.95" customHeight="1"/>
    <row r="148" ht="54.95" customHeight="1"/>
    <row r="149" ht="54.95" customHeight="1"/>
    <row r="150" ht="54.95" customHeight="1"/>
    <row r="151" ht="54.95" customHeight="1"/>
    <row r="152" ht="54.95" customHeight="1"/>
    <row r="153" ht="54.95" customHeight="1"/>
    <row r="154" ht="54.95" customHeight="1"/>
    <row r="155" ht="54.95" customHeight="1"/>
    <row r="156" ht="54.95" customHeight="1"/>
    <row r="157" ht="54.95" customHeight="1"/>
    <row r="158" ht="54.95" customHeight="1"/>
    <row r="159" ht="54.95" customHeight="1"/>
    <row r="160" ht="54.95" customHeight="1"/>
    <row r="161" ht="54.95" customHeight="1"/>
    <row r="162" ht="54.95" customHeight="1"/>
    <row r="163" ht="54.95" customHeight="1"/>
    <row r="164" ht="54.95" customHeight="1"/>
    <row r="165" ht="54.95" customHeight="1"/>
    <row r="166" ht="54.95" customHeight="1"/>
    <row r="167" ht="54.95" customHeight="1"/>
    <row r="168" ht="54.95" customHeight="1"/>
    <row r="169" ht="54.95" customHeight="1"/>
    <row r="170" ht="54.95" customHeight="1"/>
    <row r="171" ht="54.95" customHeight="1"/>
    <row r="172" ht="54.95" customHeight="1"/>
    <row r="173" ht="54.95" customHeight="1"/>
    <row r="174" ht="54.95" customHeight="1"/>
    <row r="175" ht="54.95" customHeight="1"/>
    <row r="176" ht="54.95" customHeight="1"/>
    <row r="177" spans="1:26" ht="54.95" customHeight="1"/>
    <row r="178" spans="1:26" ht="54.95" customHeight="1"/>
    <row r="179" spans="1:26" ht="54.95" customHeight="1"/>
    <row r="180" spans="1:26" ht="54.95" customHeight="1"/>
    <row r="181" spans="1:26" ht="54.95" customHeight="1"/>
    <row r="182" spans="1:26" ht="54.95" customHeight="1"/>
    <row r="183" spans="1:26" ht="54.95" customHeight="1"/>
    <row r="184" spans="1:26" ht="54.95" customHeight="1"/>
    <row r="185" spans="1:26" s="2" customFormat="1" ht="54.95" customHeight="1">
      <c r="A185" s="3"/>
      <c r="B185" s="3"/>
      <c r="C185" s="125"/>
      <c r="D185" s="126"/>
      <c r="E185" s="126"/>
      <c r="F185" s="126"/>
      <c r="G185" s="126"/>
      <c r="H185" s="126"/>
      <c r="I185" s="126"/>
      <c r="J185" s="3"/>
      <c r="K185" s="3"/>
      <c r="L185" s="3"/>
      <c r="N185" s="29"/>
      <c r="O185" s="29"/>
      <c r="P185" s="29"/>
      <c r="Q185" s="29"/>
      <c r="R185" s="29"/>
      <c r="S185" s="29"/>
      <c r="T185" s="29"/>
      <c r="U185" s="29"/>
      <c r="V185" s="29"/>
      <c r="W185" s="29"/>
      <c r="X185" s="30"/>
      <c r="Y185" s="30"/>
      <c r="Z185" s="121"/>
    </row>
    <row r="186" spans="1:26" s="2" customFormat="1" ht="54.95" customHeight="1">
      <c r="A186" s="3"/>
      <c r="B186" s="3"/>
      <c r="C186" s="125"/>
      <c r="D186" s="126"/>
      <c r="E186" s="126"/>
      <c r="F186" s="126"/>
      <c r="G186" s="126"/>
      <c r="H186" s="126"/>
      <c r="I186" s="126"/>
      <c r="J186" s="3"/>
      <c r="K186" s="3"/>
      <c r="L186" s="3"/>
      <c r="N186" s="29"/>
      <c r="O186" s="29"/>
      <c r="P186" s="29"/>
      <c r="Q186" s="29"/>
      <c r="R186" s="29"/>
      <c r="S186" s="29"/>
      <c r="T186" s="29"/>
      <c r="U186" s="29"/>
      <c r="V186" s="29"/>
      <c r="W186" s="29"/>
      <c r="X186" s="30"/>
      <c r="Y186" s="30"/>
      <c r="Z186" s="121"/>
    </row>
    <row r="187" spans="1:26" s="2" customFormat="1" ht="54.95" customHeight="1">
      <c r="A187" s="3"/>
      <c r="B187" s="3"/>
      <c r="C187" s="125"/>
      <c r="D187" s="126"/>
      <c r="E187" s="126"/>
      <c r="F187" s="126"/>
      <c r="G187" s="126"/>
      <c r="H187" s="126"/>
      <c r="I187" s="126"/>
      <c r="J187" s="3"/>
      <c r="K187" s="3"/>
      <c r="L187" s="3"/>
      <c r="N187" s="29"/>
      <c r="O187" s="29"/>
      <c r="P187" s="29"/>
      <c r="Q187" s="29"/>
      <c r="R187" s="29"/>
      <c r="S187" s="29"/>
      <c r="T187" s="29"/>
      <c r="U187" s="29"/>
      <c r="V187" s="29"/>
      <c r="W187" s="29"/>
      <c r="X187" s="30"/>
      <c r="Y187" s="30"/>
      <c r="Z187" s="121"/>
    </row>
    <row r="188" spans="1:26" s="2" customFormat="1" ht="54.95" customHeight="1">
      <c r="A188" s="3"/>
      <c r="B188" s="3"/>
      <c r="C188" s="125"/>
      <c r="D188" s="126"/>
      <c r="E188" s="126"/>
      <c r="F188" s="126"/>
      <c r="G188" s="126"/>
      <c r="H188" s="126"/>
      <c r="I188" s="126"/>
      <c r="J188" s="3"/>
      <c r="K188" s="3"/>
      <c r="L188" s="3"/>
      <c r="N188" s="29"/>
      <c r="O188" s="29"/>
      <c r="P188" s="29"/>
      <c r="Q188" s="29"/>
      <c r="R188" s="29"/>
      <c r="S188" s="29"/>
      <c r="T188" s="29"/>
      <c r="U188" s="29"/>
      <c r="V188" s="29"/>
      <c r="W188" s="29"/>
      <c r="X188" s="30"/>
      <c r="Y188" s="30"/>
      <c r="Z188" s="121"/>
    </row>
    <row r="189" spans="1:26" s="2" customFormat="1" ht="54.95" customHeight="1">
      <c r="A189" s="3"/>
      <c r="B189" s="3"/>
      <c r="C189" s="125"/>
      <c r="D189" s="126"/>
      <c r="E189" s="126"/>
      <c r="F189" s="126"/>
      <c r="G189" s="126"/>
      <c r="H189" s="126"/>
      <c r="I189" s="126"/>
      <c r="J189" s="3"/>
      <c r="K189" s="3"/>
      <c r="L189" s="3"/>
      <c r="N189" s="29"/>
      <c r="O189" s="29"/>
      <c r="P189" s="29"/>
      <c r="Q189" s="29"/>
      <c r="R189" s="29"/>
      <c r="S189" s="29"/>
      <c r="T189" s="29"/>
      <c r="U189" s="29"/>
      <c r="V189" s="29"/>
      <c r="W189" s="29"/>
      <c r="X189" s="30"/>
      <c r="Y189" s="30"/>
      <c r="Z189" s="121"/>
    </row>
    <row r="190" spans="1:26" s="2" customFormat="1" ht="54.95" customHeight="1">
      <c r="A190" s="3"/>
      <c r="B190" s="3"/>
      <c r="C190" s="125"/>
      <c r="D190" s="126"/>
      <c r="E190" s="126"/>
      <c r="F190" s="126"/>
      <c r="G190" s="126"/>
      <c r="H190" s="126"/>
      <c r="I190" s="126"/>
      <c r="J190" s="3"/>
      <c r="K190" s="3"/>
      <c r="L190" s="3"/>
      <c r="N190" s="29"/>
      <c r="O190" s="29"/>
      <c r="P190" s="29"/>
      <c r="Q190" s="29"/>
      <c r="R190" s="29"/>
      <c r="S190" s="29"/>
      <c r="T190" s="29"/>
      <c r="U190" s="29"/>
      <c r="V190" s="29"/>
      <c r="W190" s="29"/>
      <c r="X190" s="30"/>
      <c r="Y190" s="30"/>
      <c r="Z190" s="121"/>
    </row>
    <row r="191" spans="1:26" s="2" customFormat="1" ht="54.95" customHeight="1">
      <c r="A191" s="3"/>
      <c r="B191" s="3"/>
      <c r="C191" s="125"/>
      <c r="D191" s="126"/>
      <c r="E191" s="126"/>
      <c r="F191" s="126"/>
      <c r="G191" s="126"/>
      <c r="H191" s="126"/>
      <c r="I191" s="126"/>
      <c r="J191" s="3"/>
      <c r="K191" s="3"/>
      <c r="L191" s="3"/>
      <c r="N191" s="29"/>
      <c r="O191" s="29"/>
      <c r="P191" s="29"/>
      <c r="Q191" s="29"/>
      <c r="R191" s="29"/>
      <c r="S191" s="29"/>
      <c r="T191" s="29"/>
      <c r="U191" s="29"/>
      <c r="V191" s="29"/>
      <c r="W191" s="29"/>
      <c r="X191" s="30"/>
      <c r="Y191" s="30"/>
      <c r="Z191" s="121"/>
    </row>
    <row r="192" spans="1:26" s="15" customFormat="1" ht="54.95" hidden="1" customHeight="1">
      <c r="B192" s="15" t="str">
        <f>$A$33</f>
        <v>كميت سنجه عملكرد همسان شده :</v>
      </c>
      <c r="C192" s="128" t="s">
        <v>161</v>
      </c>
      <c r="D192" s="129"/>
      <c r="E192" s="129"/>
      <c r="F192" s="129"/>
      <c r="G192" s="129"/>
      <c r="H192" s="129"/>
      <c r="I192" s="129"/>
      <c r="N192" s="29"/>
      <c r="O192" s="29"/>
      <c r="P192" s="29"/>
      <c r="Q192" s="29"/>
      <c r="R192" s="29"/>
      <c r="S192" s="29"/>
      <c r="T192" s="29"/>
      <c r="U192" s="29"/>
      <c r="V192" s="29"/>
      <c r="W192" s="29"/>
      <c r="X192" s="30"/>
      <c r="Y192" s="30"/>
      <c r="Z192" s="30"/>
    </row>
    <row r="193" spans="1:26" s="15" customFormat="1" ht="54.95" hidden="1" customHeight="1">
      <c r="C193" s="128" t="s">
        <v>162</v>
      </c>
      <c r="D193" s="129"/>
      <c r="E193" s="129"/>
      <c r="F193" s="129"/>
      <c r="G193" s="129"/>
      <c r="H193" s="129"/>
      <c r="I193" s="129"/>
      <c r="N193" s="29"/>
      <c r="O193" s="29"/>
      <c r="P193" s="29"/>
      <c r="Q193" s="29"/>
      <c r="R193" s="29"/>
      <c r="S193" s="29"/>
      <c r="T193" s="29"/>
      <c r="U193" s="29"/>
      <c r="V193" s="29"/>
      <c r="W193" s="29"/>
      <c r="X193" s="30"/>
      <c r="Y193" s="30"/>
      <c r="Z193" s="30"/>
    </row>
    <row r="194" spans="1:26" s="2" customFormat="1" ht="54.95" customHeight="1">
      <c r="A194" s="3"/>
      <c r="B194" s="3"/>
      <c r="C194" s="125"/>
      <c r="D194" s="126"/>
      <c r="E194" s="126"/>
      <c r="F194" s="126"/>
      <c r="G194" s="126"/>
      <c r="H194" s="126"/>
      <c r="I194" s="126"/>
      <c r="J194" s="3"/>
      <c r="K194" s="3"/>
      <c r="L194" s="3"/>
      <c r="N194" s="29"/>
      <c r="O194" s="29"/>
      <c r="P194" s="29"/>
      <c r="Q194" s="29"/>
      <c r="R194" s="29"/>
      <c r="S194" s="29"/>
      <c r="T194" s="29"/>
      <c r="U194" s="29"/>
      <c r="V194" s="29"/>
      <c r="W194" s="29"/>
      <c r="X194" s="30"/>
      <c r="Y194" s="30"/>
      <c r="Z194" s="121"/>
    </row>
    <row r="195" spans="1:26" s="2" customFormat="1" ht="54.95" customHeight="1">
      <c r="A195" s="3"/>
      <c r="B195" s="3"/>
      <c r="C195" s="125"/>
      <c r="D195" s="126"/>
      <c r="E195" s="126"/>
      <c r="F195" s="126"/>
      <c r="G195" s="126"/>
      <c r="H195" s="126"/>
      <c r="I195" s="126"/>
      <c r="J195" s="3"/>
      <c r="K195" s="3"/>
      <c r="L195" s="3"/>
      <c r="N195" s="29"/>
      <c r="O195" s="29"/>
      <c r="P195" s="29"/>
      <c r="Q195" s="29"/>
      <c r="R195" s="29"/>
      <c r="S195" s="29"/>
      <c r="T195" s="29"/>
      <c r="U195" s="29"/>
      <c r="V195" s="29"/>
      <c r="W195" s="29"/>
      <c r="X195" s="30"/>
      <c r="Y195" s="30"/>
      <c r="Z195" s="121"/>
    </row>
    <row r="196" spans="1:26" s="2" customFormat="1" ht="54.95" customHeight="1">
      <c r="A196" s="3"/>
      <c r="B196" s="3"/>
      <c r="C196" s="125"/>
      <c r="D196" s="126"/>
      <c r="E196" s="126"/>
      <c r="F196" s="126"/>
      <c r="G196" s="126"/>
      <c r="H196" s="126"/>
      <c r="I196" s="126"/>
      <c r="J196" s="3"/>
      <c r="K196" s="3"/>
      <c r="L196" s="3"/>
      <c r="N196" s="29"/>
      <c r="O196" s="29"/>
      <c r="P196" s="29"/>
      <c r="Q196" s="29"/>
      <c r="R196" s="29"/>
      <c r="S196" s="29"/>
      <c r="T196" s="29"/>
      <c r="U196" s="29"/>
      <c r="V196" s="29"/>
      <c r="W196" s="29"/>
      <c r="X196" s="30"/>
      <c r="Y196" s="30"/>
      <c r="Z196" s="121"/>
    </row>
    <row r="197" spans="1:26" s="2" customFormat="1" ht="54.95" customHeight="1">
      <c r="A197" s="3"/>
      <c r="B197" s="3"/>
      <c r="C197" s="125"/>
      <c r="D197" s="126"/>
      <c r="E197" s="126"/>
      <c r="F197" s="126"/>
      <c r="G197" s="126"/>
      <c r="H197" s="126"/>
      <c r="I197" s="126"/>
      <c r="J197" s="3"/>
      <c r="K197" s="3"/>
      <c r="L197" s="3"/>
      <c r="N197" s="29"/>
      <c r="O197" s="29"/>
      <c r="P197" s="29"/>
      <c r="Q197" s="29"/>
      <c r="R197" s="29"/>
      <c r="S197" s="29"/>
      <c r="T197" s="29"/>
      <c r="U197" s="29"/>
      <c r="V197" s="29"/>
      <c r="W197" s="29"/>
      <c r="X197" s="30"/>
      <c r="Y197" s="30"/>
      <c r="Z197" s="121"/>
    </row>
    <row r="198" spans="1:26" s="2" customFormat="1" ht="54.95" customHeight="1">
      <c r="A198" s="3"/>
      <c r="B198" s="3"/>
      <c r="C198" s="125"/>
      <c r="D198" s="126"/>
      <c r="E198" s="126"/>
      <c r="F198" s="126"/>
      <c r="G198" s="126"/>
      <c r="H198" s="126"/>
      <c r="I198" s="126"/>
      <c r="J198" s="3"/>
      <c r="K198" s="3"/>
      <c r="L198" s="3"/>
      <c r="N198" s="29"/>
      <c r="O198" s="29"/>
      <c r="P198" s="29"/>
      <c r="Q198" s="29"/>
      <c r="R198" s="29"/>
      <c r="S198" s="29"/>
      <c r="T198" s="29"/>
      <c r="U198" s="29"/>
      <c r="V198" s="29"/>
      <c r="W198" s="29"/>
      <c r="X198" s="30"/>
      <c r="Y198" s="30"/>
      <c r="Z198" s="121"/>
    </row>
    <row r="199" spans="1:26" s="2" customFormat="1" ht="54.95" customHeight="1">
      <c r="A199" s="3"/>
      <c r="B199" s="3"/>
      <c r="C199" s="125"/>
      <c r="D199" s="126"/>
      <c r="E199" s="126"/>
      <c r="F199" s="126"/>
      <c r="G199" s="126"/>
      <c r="H199" s="126"/>
      <c r="I199" s="126"/>
      <c r="J199" s="3"/>
      <c r="K199" s="3"/>
      <c r="L199" s="3"/>
      <c r="N199" s="29"/>
      <c r="O199" s="29"/>
      <c r="P199" s="29"/>
      <c r="Q199" s="29"/>
      <c r="R199" s="29"/>
      <c r="S199" s="29"/>
      <c r="T199" s="29"/>
      <c r="U199" s="29"/>
      <c r="V199" s="29"/>
      <c r="W199" s="29"/>
      <c r="X199" s="30"/>
      <c r="Y199" s="30"/>
      <c r="Z199" s="121"/>
    </row>
    <row r="200" spans="1:26" s="2" customFormat="1" ht="54.95" customHeight="1">
      <c r="A200" s="3"/>
      <c r="B200" s="3"/>
      <c r="C200" s="125"/>
      <c r="D200" s="126"/>
      <c r="E200" s="126"/>
      <c r="F200" s="126"/>
      <c r="G200" s="126"/>
      <c r="H200" s="126"/>
      <c r="I200" s="126"/>
      <c r="J200" s="3"/>
      <c r="K200" s="3"/>
      <c r="L200" s="3"/>
      <c r="N200" s="29"/>
      <c r="O200" s="29"/>
      <c r="P200" s="29"/>
      <c r="Q200" s="29"/>
      <c r="R200" s="29"/>
      <c r="S200" s="29"/>
      <c r="T200" s="29"/>
      <c r="U200" s="29"/>
      <c r="V200" s="29"/>
      <c r="W200" s="29"/>
      <c r="X200" s="30"/>
      <c r="Y200" s="30"/>
      <c r="Z200" s="121"/>
    </row>
    <row r="201" spans="1:26" ht="54.95" customHeight="1"/>
    <row r="202" spans="1:26" ht="54.95" customHeight="1"/>
    <row r="203" spans="1:26" ht="54.95" customHeight="1"/>
    <row r="204" spans="1:26" ht="54.95" customHeight="1"/>
    <row r="205" spans="1:26" ht="54.95" customHeight="1"/>
    <row r="206" spans="1:26" ht="54.95" customHeight="1"/>
    <row r="207" spans="1:26" ht="54.95" customHeight="1"/>
    <row r="208" spans="1:26" ht="54.95" customHeight="1"/>
    <row r="209" ht="54.95" customHeight="1"/>
    <row r="210" ht="54.95" customHeight="1"/>
    <row r="211" ht="54.95" customHeight="1"/>
    <row r="212" ht="54.95" customHeight="1"/>
    <row r="213" ht="54.95" customHeight="1"/>
    <row r="214" ht="54.95" customHeight="1"/>
    <row r="215" ht="54.95" customHeight="1"/>
    <row r="216" ht="54.95" customHeight="1"/>
    <row r="217" ht="54.95" customHeight="1"/>
    <row r="218" ht="54.95" customHeight="1"/>
    <row r="219" ht="54.95" customHeight="1"/>
    <row r="220" ht="54.95" customHeight="1"/>
    <row r="221" ht="54.95" customHeight="1"/>
    <row r="222" ht="54.95" customHeight="1"/>
    <row r="223" ht="54.95" customHeight="1"/>
    <row r="224" ht="54.95" customHeight="1"/>
    <row r="225" ht="54.95" customHeight="1"/>
    <row r="226" ht="54.95" customHeight="1"/>
    <row r="227" ht="54.95" customHeight="1"/>
    <row r="228" ht="54.95" customHeight="1"/>
    <row r="229" ht="54.95" customHeight="1"/>
    <row r="230" ht="54.95" customHeight="1"/>
    <row r="231" ht="54.95" customHeight="1"/>
    <row r="232" ht="54.95" customHeight="1"/>
    <row r="233" ht="54.95" customHeight="1"/>
    <row r="234" ht="54.95" customHeight="1"/>
    <row r="235" ht="54.95" customHeight="1"/>
    <row r="236" ht="54.95" customHeight="1"/>
    <row r="237" ht="54.95" customHeight="1"/>
    <row r="238" ht="54.95" customHeight="1"/>
    <row r="239" ht="54.95" customHeight="1"/>
    <row r="240" ht="54.95" customHeight="1"/>
    <row r="241" ht="54.95" customHeight="1"/>
    <row r="242" ht="54.95" customHeight="1"/>
    <row r="243" ht="54.95" customHeight="1"/>
    <row r="244" ht="54.95" customHeight="1"/>
    <row r="245" ht="54.95" customHeight="1"/>
    <row r="246" ht="54.95" customHeight="1"/>
    <row r="247" ht="54.95" customHeight="1"/>
    <row r="248" ht="54.95" customHeight="1"/>
    <row r="249" ht="54.95" customHeight="1"/>
    <row r="250" ht="54.95" customHeight="1"/>
    <row r="251" ht="54.95" customHeight="1"/>
    <row r="252" ht="54.95" customHeight="1"/>
    <row r="253" ht="54.95" customHeight="1"/>
    <row r="254" ht="54.95" customHeight="1"/>
    <row r="255" ht="54.95" customHeight="1"/>
    <row r="256" ht="54.95" customHeight="1"/>
    <row r="257" ht="54.95" customHeight="1"/>
    <row r="258" ht="54.95" customHeight="1"/>
    <row r="259" ht="54.95" customHeight="1"/>
    <row r="260" ht="54.95" customHeight="1"/>
    <row r="261" ht="54.95" customHeight="1"/>
    <row r="262" ht="54.95" customHeight="1"/>
    <row r="263" ht="54.95" customHeight="1"/>
    <row r="264" ht="54.95" customHeight="1"/>
    <row r="265" ht="54.95" customHeight="1"/>
    <row r="266" ht="54.95" customHeight="1"/>
    <row r="267" ht="54.95" customHeight="1"/>
    <row r="268" ht="54.95" customHeight="1"/>
    <row r="269" ht="54.95" customHeight="1"/>
    <row r="270" ht="54.95" customHeight="1"/>
    <row r="271" ht="54.95" customHeight="1"/>
    <row r="272" ht="54.95" customHeight="1"/>
    <row r="273" ht="54.95" customHeight="1"/>
    <row r="274" ht="54.95" customHeight="1"/>
    <row r="275" ht="54.95" customHeight="1"/>
    <row r="276" ht="54.95" customHeight="1"/>
    <row r="277" ht="54.95" customHeight="1"/>
    <row r="278" ht="54.95" customHeight="1"/>
    <row r="279" ht="54.95" customHeight="1"/>
    <row r="280" ht="54.95" customHeight="1"/>
    <row r="281" ht="54.95" customHeight="1"/>
    <row r="282" ht="54.95" customHeight="1"/>
    <row r="283" ht="54.95" customHeight="1"/>
    <row r="284" ht="54.95" customHeight="1"/>
    <row r="285" ht="54.95" customHeight="1"/>
    <row r="286" ht="54.95" customHeight="1"/>
    <row r="287" ht="54.95" customHeight="1"/>
    <row r="288" ht="54.95" customHeight="1"/>
    <row r="289" ht="54.95" customHeight="1"/>
    <row r="290" ht="54.95" customHeight="1"/>
    <row r="291" ht="54.95" customHeight="1"/>
    <row r="292" ht="54.95" customHeight="1"/>
    <row r="293" ht="54.95" customHeight="1"/>
    <row r="294" ht="54.95" customHeight="1"/>
    <row r="295" ht="54.95" customHeight="1"/>
    <row r="296" ht="54.95" customHeight="1"/>
    <row r="297" ht="54.95" customHeight="1"/>
    <row r="298" ht="54.95" customHeight="1"/>
    <row r="299" ht="54.95" customHeight="1"/>
    <row r="300" ht="54.95" customHeight="1"/>
    <row r="301" ht="54.95" customHeight="1"/>
    <row r="302" ht="54.95" customHeight="1"/>
    <row r="303" ht="54.95" customHeight="1"/>
    <row r="304" ht="54.95" customHeight="1"/>
    <row r="305" ht="54.95" customHeight="1"/>
    <row r="306" ht="54.95" customHeight="1"/>
    <row r="307" ht="54.95" customHeight="1"/>
    <row r="308" ht="54.95" customHeight="1"/>
    <row r="309" ht="54.95" customHeight="1"/>
    <row r="310" ht="54.95" customHeight="1"/>
    <row r="311" ht="54.95" customHeight="1"/>
    <row r="312" ht="54.95" customHeight="1"/>
    <row r="313" ht="54.95" customHeight="1"/>
    <row r="314" ht="54.95" customHeight="1"/>
    <row r="315" ht="54.95" customHeight="1"/>
    <row r="316" ht="54.95" customHeight="1"/>
  </sheetData>
  <mergeCells count="13">
    <mergeCell ref="A33:B33"/>
    <mergeCell ref="C33:K33"/>
    <mergeCell ref="A34:L34"/>
    <mergeCell ref="A1:M1"/>
    <mergeCell ref="B2:B3"/>
    <mergeCell ref="C2:C3"/>
    <mergeCell ref="D2:G2"/>
    <mergeCell ref="H2:H3"/>
    <mergeCell ref="I2:I3"/>
    <mergeCell ref="J2:J3"/>
    <mergeCell ref="K2:K3"/>
    <mergeCell ref="L2:L3"/>
    <mergeCell ref="M2:M3"/>
  </mergeCells>
  <pageMargins left="0.7" right="0.7" top="0.75" bottom="0.75" header="0.3" footer="0.3"/>
  <pageSetup paperSize="9" scale="65" orientation="portrait" r:id="rId1"/>
  <drawing r:id="rId2"/>
  <legacyDrawing r:id="rId3"/>
</worksheet>
</file>

<file path=xl/worksheets/sheet6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4"/>
  <sheetViews>
    <sheetView showGridLines="0" rightToLeft="1" workbookViewId="0">
      <pane xSplit="11" topLeftCell="L1" activePane="topRight" state="frozen"/>
      <selection pane="topRight" activeCell="M3" sqref="M3"/>
    </sheetView>
  </sheetViews>
  <sheetFormatPr defaultRowHeight="18"/>
  <cols>
    <col min="1" max="1" width="15.5" customWidth="1"/>
    <col min="2" max="2" width="11.5" customWidth="1"/>
    <col min="3" max="3" width="50.6640625" customWidth="1"/>
    <col min="4" max="4" width="21.6640625" customWidth="1"/>
    <col min="5" max="10" width="9.83203125" customWidth="1"/>
    <col min="11" max="11" width="16.83203125" customWidth="1"/>
    <col min="12" max="12" width="12.1640625" customWidth="1"/>
  </cols>
  <sheetData>
    <row r="1" spans="1:11" ht="89.25" customHeight="1">
      <c r="A1" s="540" t="s">
        <v>730</v>
      </c>
      <c r="B1" s="417"/>
      <c r="C1" s="417"/>
      <c r="D1" s="417"/>
      <c r="E1" s="417"/>
      <c r="F1" s="417"/>
      <c r="G1" s="417"/>
      <c r="H1" s="417"/>
      <c r="I1" s="417"/>
      <c r="J1" s="417"/>
      <c r="K1" s="418"/>
    </row>
    <row r="2" spans="1:11" ht="79.5" customHeight="1">
      <c r="A2" s="419"/>
      <c r="B2" s="217" t="s">
        <v>0</v>
      </c>
      <c r="C2" s="218" t="s">
        <v>709</v>
      </c>
      <c r="D2" s="219" t="s">
        <v>632</v>
      </c>
      <c r="E2" s="219">
        <v>1396</v>
      </c>
      <c r="F2" s="219">
        <v>1397</v>
      </c>
      <c r="G2" s="219">
        <v>1398</v>
      </c>
      <c r="H2" s="219">
        <v>1399</v>
      </c>
      <c r="I2" s="219">
        <v>1400</v>
      </c>
      <c r="J2" s="219">
        <v>1401</v>
      </c>
      <c r="K2" s="420"/>
    </row>
    <row r="3" spans="1:11" ht="103.5" customHeight="1">
      <c r="A3" s="419"/>
      <c r="B3" s="282" t="s">
        <v>629</v>
      </c>
      <c r="C3" s="281" t="s">
        <v>727</v>
      </c>
      <c r="D3" s="220" t="s">
        <v>86</v>
      </c>
      <c r="E3" s="221"/>
      <c r="F3" s="221"/>
      <c r="G3" s="221"/>
      <c r="H3" s="221"/>
      <c r="I3" s="221"/>
      <c r="J3" s="221"/>
      <c r="K3" s="420"/>
    </row>
    <row r="4" spans="1:11" ht="111" customHeight="1">
      <c r="A4" s="419"/>
      <c r="B4" s="282" t="s">
        <v>630</v>
      </c>
      <c r="C4" s="281" t="s">
        <v>728</v>
      </c>
      <c r="D4" s="220" t="s">
        <v>729</v>
      </c>
      <c r="E4" s="221"/>
      <c r="F4" s="221"/>
      <c r="G4" s="221"/>
      <c r="H4" s="221"/>
      <c r="I4" s="221"/>
      <c r="J4" s="221"/>
      <c r="K4" s="420"/>
    </row>
    <row r="5" spans="1:11" ht="96.75" customHeight="1" thickBot="1">
      <c r="A5" s="421"/>
      <c r="B5" s="422"/>
      <c r="C5" s="422"/>
      <c r="D5" s="422"/>
      <c r="E5" s="422"/>
      <c r="F5" s="422"/>
      <c r="G5" s="422"/>
      <c r="H5" s="422"/>
      <c r="I5" s="422"/>
      <c r="J5" s="422"/>
      <c r="K5" s="423"/>
    </row>
    <row r="6" spans="1:11" ht="45" customHeight="1"/>
    <row r="7" spans="1:11" ht="45" customHeight="1"/>
    <row r="8" spans="1:11" ht="45" customHeight="1"/>
    <row r="9" spans="1:11" ht="45" customHeight="1"/>
    <row r="10" spans="1:11" ht="45" customHeight="1"/>
    <row r="11" spans="1:11" ht="45" customHeight="1"/>
    <row r="12" spans="1:11" ht="45" customHeight="1"/>
    <row r="13" spans="1:11" ht="45" customHeight="1"/>
    <row r="14" spans="1:11" ht="45" customHeight="1"/>
    <row r="15" spans="1:11" ht="45" customHeight="1"/>
    <row r="16" spans="1:11" ht="45" customHeight="1"/>
    <row r="17" ht="45" customHeight="1"/>
    <row r="18" ht="45" customHeight="1"/>
    <row r="19" ht="45" customHeight="1"/>
    <row r="20" ht="45" customHeight="1"/>
    <row r="21" ht="45" customHeight="1"/>
    <row r="22" ht="45" customHeight="1"/>
    <row r="23" ht="45" customHeight="1"/>
    <row r="24" ht="45" customHeight="1"/>
  </sheetData>
  <mergeCells count="4">
    <mergeCell ref="A1:K1"/>
    <mergeCell ref="A2:A4"/>
    <mergeCell ref="K2:K4"/>
    <mergeCell ref="A5:K5"/>
  </mergeCells>
  <pageMargins left="0.7" right="0.7" top="0.75" bottom="0.75" header="0.3" footer="0.3"/>
  <pageSetup paperSize="9" orientation="portrait" r:id="rId1"/>
  <ignoredErrors>
    <ignoredError sqref="B3:B4" numberStoredAsText="1"/>
  </ignoredErrors>
  <drawing r:id="rId2"/>
  <legacyDrawing r:id="rId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rightToLeft="1" workbookViewId="0">
      <selection sqref="A1:C1"/>
    </sheetView>
  </sheetViews>
  <sheetFormatPr defaultRowHeight="27"/>
  <cols>
    <col min="1" max="1" width="18.33203125" style="60" customWidth="1"/>
    <col min="2" max="2" width="126.6640625" style="60" customWidth="1"/>
    <col min="3" max="3" width="18.33203125" style="60" customWidth="1"/>
    <col min="4" max="16384" width="9.33203125" style="60"/>
  </cols>
  <sheetData>
    <row r="1" spans="1:3" ht="59.25" customHeight="1">
      <c r="A1" s="387" t="s">
        <v>618</v>
      </c>
      <c r="B1" s="387"/>
      <c r="C1" s="387"/>
    </row>
    <row r="2" spans="1:3" s="62" customFormat="1" ht="42" customHeight="1">
      <c r="A2" s="388"/>
      <c r="B2" s="61" t="str">
        <f>'[38]سیاست ها و برنامه ها '!$A$1</f>
        <v xml:space="preserve"> اهداف کلی 4: دسترسی كمي و كيفي  به بسته خدمات دامپزشکی</v>
      </c>
      <c r="C2" s="389"/>
    </row>
    <row r="3" spans="1:3" s="62" customFormat="1" ht="42" customHeight="1">
      <c r="A3" s="388"/>
      <c r="B3" s="63" t="str">
        <f>'[38]سیاست ها و برنامه ها '!A2</f>
        <v xml:space="preserve"> راهبرد 18-4: توسعه خدمات دامپزشکی در مناطق روستایی/ عشایری</v>
      </c>
      <c r="C3" s="389"/>
    </row>
    <row r="4" spans="1:3" s="62" customFormat="1" ht="42" customHeight="1">
      <c r="A4" s="388"/>
      <c r="B4" s="64" t="str">
        <f>CONCATENATE([38]روکش!A1," ",[38]روکش!B1)</f>
        <v xml:space="preserve"> عنوان هدف کمی: افزایش تعداد شاغلین بخش غیر دولتی دامپزشکی در شهرستان ها و مناطق کمتر توسعه یافته با جمعیت 100000 واحد دامی،
 افزایش درمانگاه های دامپزشکی ویژه مناطق روستایی و عشایری</v>
      </c>
      <c r="C4" s="389"/>
    </row>
    <row r="5" spans="1:3" s="62" customFormat="1" ht="42" customHeight="1">
      <c r="A5" s="388"/>
      <c r="B5" s="64" t="str">
        <f>CONCATENATE([38]روکش!A2,"  ",[38]روکش!B2,"     ",[38]روکش!C2,"  ",[38]روکش!D2)</f>
        <v>عنوان سنجه عملکرد:   مورد بازرسی و نظارت     شاخص سنجه:  1.2</v>
      </c>
      <c r="C5" s="389"/>
    </row>
    <row r="6" spans="1:3" s="62" customFormat="1" ht="42" customHeight="1">
      <c r="A6" s="388"/>
      <c r="B6" s="64" t="s">
        <v>559</v>
      </c>
      <c r="C6" s="389"/>
    </row>
    <row r="7" spans="1:3" s="62" customFormat="1" ht="42" customHeight="1">
      <c r="A7" s="388"/>
      <c r="B7" s="64" t="s">
        <v>623</v>
      </c>
      <c r="C7" s="389"/>
    </row>
    <row r="8" spans="1:3" ht="42" customHeight="1">
      <c r="A8" s="388"/>
      <c r="B8" s="65" t="s">
        <v>624</v>
      </c>
      <c r="C8" s="389"/>
    </row>
    <row r="9" spans="1:3" s="66" customFormat="1" ht="42" customHeight="1">
      <c r="A9" s="388"/>
      <c r="B9" s="63" t="s">
        <v>625</v>
      </c>
      <c r="C9" s="389"/>
    </row>
    <row r="10" spans="1:3" s="68" customFormat="1" ht="42" customHeight="1">
      <c r="A10" s="388"/>
      <c r="B10" s="144" t="s">
        <v>194</v>
      </c>
      <c r="C10" s="389"/>
    </row>
    <row r="11" spans="1:3" ht="57.75" customHeight="1">
      <c r="A11" s="390"/>
      <c r="B11" s="390"/>
      <c r="C11" s="390"/>
    </row>
  </sheetData>
  <dataConsolidate/>
  <mergeCells count="4">
    <mergeCell ref="A1:C1"/>
    <mergeCell ref="A2:A10"/>
    <mergeCell ref="C2:C10"/>
    <mergeCell ref="A11:C11"/>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4"/>
  <sheetViews>
    <sheetView showGridLines="0" rightToLeft="1" workbookViewId="0">
      <pane xSplit="12" topLeftCell="M1" activePane="topRight" state="frozen"/>
      <selection pane="topRight" sqref="A1:L1"/>
    </sheetView>
  </sheetViews>
  <sheetFormatPr defaultRowHeight="15"/>
  <cols>
    <col min="1" max="1" width="8.1640625" style="24" customWidth="1"/>
    <col min="2" max="2" width="15.1640625" style="24" customWidth="1"/>
    <col min="3" max="3" width="49.6640625" style="24" customWidth="1"/>
    <col min="4" max="4" width="11.6640625" style="24" customWidth="1"/>
    <col min="5" max="5" width="12.83203125" style="24" customWidth="1"/>
    <col min="6" max="6" width="12.83203125" style="27" customWidth="1"/>
    <col min="7" max="10" width="12.83203125" style="24" customWidth="1"/>
    <col min="11" max="11" width="12.83203125" style="347" customWidth="1"/>
    <col min="12" max="12" width="12.83203125" style="24" customWidth="1"/>
    <col min="13" max="16384" width="9.33203125" style="24"/>
  </cols>
  <sheetData>
    <row r="1" spans="1:20" ht="36" customHeight="1">
      <c r="A1" s="363" t="s">
        <v>51</v>
      </c>
      <c r="B1" s="363"/>
      <c r="C1" s="363"/>
      <c r="D1" s="363"/>
      <c r="E1" s="363"/>
      <c r="F1" s="363"/>
      <c r="G1" s="363"/>
      <c r="H1" s="363"/>
      <c r="I1" s="363"/>
      <c r="J1" s="363"/>
      <c r="K1" s="363"/>
      <c r="L1" s="363"/>
      <c r="M1" s="1"/>
      <c r="N1" s="1"/>
      <c r="O1" s="1"/>
      <c r="P1" s="1"/>
      <c r="Q1" s="1"/>
      <c r="R1" s="1"/>
      <c r="S1" s="2"/>
      <c r="T1" s="3"/>
    </row>
    <row r="2" spans="1:20" s="25" customFormat="1" ht="29.25" customHeight="1">
      <c r="A2" s="361" t="s">
        <v>0</v>
      </c>
      <c r="B2" s="362" t="s">
        <v>52</v>
      </c>
      <c r="C2" s="362" t="s">
        <v>53</v>
      </c>
      <c r="D2" s="362"/>
      <c r="E2" s="362" t="s">
        <v>54</v>
      </c>
      <c r="F2" s="362" t="s">
        <v>13</v>
      </c>
      <c r="G2" s="362"/>
      <c r="H2" s="362"/>
      <c r="I2" s="362"/>
      <c r="J2" s="362"/>
      <c r="K2" s="362"/>
      <c r="L2" s="362"/>
      <c r="M2" s="5"/>
      <c r="N2" s="5"/>
      <c r="O2" s="5"/>
      <c r="P2" s="5"/>
      <c r="Q2" s="5"/>
      <c r="R2" s="5"/>
      <c r="S2" s="6"/>
      <c r="T2" s="6"/>
    </row>
    <row r="3" spans="1:20" s="25" customFormat="1" ht="35.25" customHeight="1">
      <c r="A3" s="361"/>
      <c r="B3" s="362"/>
      <c r="C3" s="177" t="s">
        <v>55</v>
      </c>
      <c r="D3" s="188" t="s">
        <v>56</v>
      </c>
      <c r="E3" s="362"/>
      <c r="F3" s="177">
        <v>1395</v>
      </c>
      <c r="G3" s="177">
        <v>1396</v>
      </c>
      <c r="H3" s="177">
        <v>1397</v>
      </c>
      <c r="I3" s="177">
        <v>1398</v>
      </c>
      <c r="J3" s="177">
        <v>1399</v>
      </c>
      <c r="K3" s="338">
        <v>1400</v>
      </c>
      <c r="L3" s="177">
        <v>1401</v>
      </c>
      <c r="M3" s="5"/>
      <c r="N3" s="5"/>
      <c r="O3" s="5"/>
      <c r="P3" s="5"/>
      <c r="Q3" s="5"/>
      <c r="R3" s="5"/>
      <c r="S3" s="6"/>
      <c r="T3" s="6"/>
    </row>
    <row r="4" spans="1:20" s="26" customFormat="1" ht="30.75" customHeight="1">
      <c r="A4" s="365">
        <v>1</v>
      </c>
      <c r="B4" s="366" t="s">
        <v>57</v>
      </c>
      <c r="C4" s="197" t="s">
        <v>58</v>
      </c>
      <c r="D4" s="189" t="s">
        <v>59</v>
      </c>
      <c r="E4" s="193">
        <v>20</v>
      </c>
      <c r="F4" s="190">
        <v>18</v>
      </c>
      <c r="G4" s="190">
        <v>17.207999999999998</v>
      </c>
      <c r="H4" s="190">
        <v>16.450847999999997</v>
      </c>
      <c r="I4" s="190">
        <v>15.710559839999997</v>
      </c>
      <c r="J4" s="190">
        <v>15.003584647199997</v>
      </c>
      <c r="K4" s="190">
        <v>14.328423338075996</v>
      </c>
      <c r="L4" s="190">
        <v>13.683644287862576</v>
      </c>
      <c r="M4" s="9"/>
      <c r="N4" s="9"/>
      <c r="O4" s="9"/>
      <c r="P4" s="9"/>
      <c r="Q4" s="9"/>
      <c r="R4" s="9"/>
      <c r="S4" s="10"/>
      <c r="T4" s="11"/>
    </row>
    <row r="5" spans="1:20" s="26" customFormat="1" ht="39.950000000000003" customHeight="1">
      <c r="A5" s="365"/>
      <c r="B5" s="366"/>
      <c r="C5" s="367" t="s">
        <v>60</v>
      </c>
      <c r="D5" s="189" t="s">
        <v>61</v>
      </c>
      <c r="E5" s="193">
        <v>3.4889999999999999</v>
      </c>
      <c r="F5" s="190">
        <v>3.1400999999999999</v>
      </c>
      <c r="G5" s="190">
        <v>2.9830950000000001</v>
      </c>
      <c r="H5" s="190">
        <v>2.8339402499999999</v>
      </c>
      <c r="I5" s="190">
        <v>2.6922432375000001</v>
      </c>
      <c r="J5" s="190">
        <v>2.5576310756250002</v>
      </c>
      <c r="K5" s="190">
        <v>2.4297495218437506</v>
      </c>
      <c r="L5" s="190">
        <v>2.308262045751563</v>
      </c>
      <c r="M5" s="9"/>
      <c r="N5" s="9"/>
      <c r="O5" s="9"/>
      <c r="P5" s="9"/>
      <c r="Q5" s="9"/>
      <c r="R5" s="9"/>
      <c r="S5" s="10"/>
      <c r="T5" s="11"/>
    </row>
    <row r="6" spans="1:20" s="26" customFormat="1" ht="30.75" customHeight="1">
      <c r="A6" s="365"/>
      <c r="B6" s="366"/>
      <c r="C6" s="367"/>
      <c r="D6" s="189" t="s">
        <v>62</v>
      </c>
      <c r="E6" s="191">
        <v>6247</v>
      </c>
      <c r="F6" s="192">
        <v>4997.6000000000004</v>
      </c>
      <c r="G6" s="192">
        <v>4497.84</v>
      </c>
      <c r="H6" s="192">
        <v>4048.056</v>
      </c>
      <c r="I6" s="192">
        <v>3643.2503999999999</v>
      </c>
      <c r="J6" s="192">
        <v>3278.9253599999997</v>
      </c>
      <c r="K6" s="190">
        <v>2951.0328239999994</v>
      </c>
      <c r="L6" s="192">
        <v>2655.9295415999991</v>
      </c>
      <c r="M6" s="9"/>
      <c r="N6" s="9"/>
      <c r="O6" s="9"/>
      <c r="P6" s="9"/>
      <c r="Q6" s="9"/>
      <c r="R6" s="9"/>
      <c r="S6" s="10"/>
      <c r="T6" s="11"/>
    </row>
    <row r="7" spans="1:20" s="26" customFormat="1" ht="39.950000000000003" customHeight="1">
      <c r="A7" s="365"/>
      <c r="B7" s="366"/>
      <c r="C7" s="367" t="s">
        <v>63</v>
      </c>
      <c r="D7" s="189" t="s">
        <v>61</v>
      </c>
      <c r="E7" s="193">
        <v>13.89</v>
      </c>
      <c r="F7" s="190">
        <v>12.501000000000001</v>
      </c>
      <c r="G7" s="190">
        <v>11.875950000000001</v>
      </c>
      <c r="H7" s="190">
        <v>11.2821525</v>
      </c>
      <c r="I7" s="190">
        <v>10.718044875</v>
      </c>
      <c r="J7" s="190">
        <v>10.182142631250001</v>
      </c>
      <c r="K7" s="190">
        <v>9.6730354996875008</v>
      </c>
      <c r="L7" s="190">
        <v>9.1893837247031254</v>
      </c>
      <c r="M7" s="9"/>
      <c r="N7" s="9"/>
      <c r="O7" s="9"/>
      <c r="P7" s="9"/>
      <c r="Q7" s="9"/>
      <c r="R7" s="9"/>
      <c r="S7" s="10"/>
      <c r="T7" s="11"/>
    </row>
    <row r="8" spans="1:20" s="26" customFormat="1" ht="26.25" customHeight="1">
      <c r="A8" s="365"/>
      <c r="B8" s="366"/>
      <c r="C8" s="367"/>
      <c r="D8" s="189" t="s">
        <v>62</v>
      </c>
      <c r="E8" s="191">
        <v>965</v>
      </c>
      <c r="F8" s="192">
        <v>868.5</v>
      </c>
      <c r="G8" s="192">
        <v>825.07500000000005</v>
      </c>
      <c r="H8" s="192">
        <v>783.82125000000008</v>
      </c>
      <c r="I8" s="192">
        <v>744.63018750000003</v>
      </c>
      <c r="J8" s="192">
        <v>707.39867812500006</v>
      </c>
      <c r="K8" s="192">
        <v>672.02874421875003</v>
      </c>
      <c r="L8" s="192">
        <v>638.42730700781249</v>
      </c>
      <c r="M8" s="9"/>
      <c r="N8" s="9"/>
      <c r="O8" s="9"/>
      <c r="P8" s="9"/>
      <c r="Q8" s="9"/>
      <c r="R8" s="9"/>
      <c r="S8" s="10"/>
      <c r="T8" s="11"/>
    </row>
    <row r="9" spans="1:20" s="26" customFormat="1" ht="39.950000000000003" customHeight="1">
      <c r="A9" s="365"/>
      <c r="B9" s="366"/>
      <c r="C9" s="197" t="s">
        <v>64</v>
      </c>
      <c r="D9" s="189" t="s">
        <v>59</v>
      </c>
      <c r="E9" s="193">
        <v>20.38</v>
      </c>
      <c r="F9" s="190">
        <v>19.443538999999998</v>
      </c>
      <c r="G9" s="190">
        <v>19.054668219999996</v>
      </c>
      <c r="H9" s="190">
        <v>18.673574855599995</v>
      </c>
      <c r="I9" s="190">
        <v>18.300103358487995</v>
      </c>
      <c r="J9" s="190">
        <v>17.934101291318235</v>
      </c>
      <c r="K9" s="190">
        <v>17.57541926549187</v>
      </c>
      <c r="L9" s="190">
        <v>17.223910880182032</v>
      </c>
      <c r="M9" s="9"/>
      <c r="N9" s="9"/>
      <c r="O9" s="9"/>
      <c r="P9" s="9"/>
      <c r="Q9" s="9"/>
      <c r="R9" s="9"/>
      <c r="S9" s="10"/>
      <c r="T9" s="11"/>
    </row>
    <row r="10" spans="1:20" s="26" customFormat="1" ht="50.1" customHeight="1">
      <c r="A10" s="365"/>
      <c r="B10" s="366"/>
      <c r="C10" s="197" t="s">
        <v>65</v>
      </c>
      <c r="D10" s="189" t="s">
        <v>59</v>
      </c>
      <c r="E10" s="193">
        <v>14.06</v>
      </c>
      <c r="F10" s="190">
        <v>12.794600000000001</v>
      </c>
      <c r="G10" s="190">
        <v>12.193253800000001</v>
      </c>
      <c r="H10" s="190">
        <v>11.620170871400001</v>
      </c>
      <c r="I10" s="190">
        <v>11.074022840444201</v>
      </c>
      <c r="J10" s="190">
        <v>10.555758571511412</v>
      </c>
      <c r="K10" s="190">
        <v>10.059637918650374</v>
      </c>
      <c r="L10" s="190">
        <v>9.5868349364738066</v>
      </c>
      <c r="M10" s="9"/>
      <c r="N10" s="9"/>
      <c r="O10" s="9"/>
      <c r="P10" s="9"/>
      <c r="Q10" s="9"/>
      <c r="R10" s="9"/>
      <c r="S10" s="10"/>
      <c r="T10" s="11"/>
    </row>
    <row r="11" spans="1:20" s="26" customFormat="1" ht="39.950000000000003" customHeight="1">
      <c r="A11" s="365"/>
      <c r="B11" s="366"/>
      <c r="C11" s="197" t="s">
        <v>66</v>
      </c>
      <c r="D11" s="189" t="s">
        <v>67</v>
      </c>
      <c r="E11" s="193">
        <v>30</v>
      </c>
      <c r="F11" s="190">
        <v>36.498270000000005</v>
      </c>
      <c r="G11" s="190">
        <v>40.257591810000008</v>
      </c>
      <c r="H11" s="190">
        <v>44.404123766430011</v>
      </c>
      <c r="I11" s="190">
        <v>48.977748514372301</v>
      </c>
      <c r="J11" s="190">
        <v>54.022456611352652</v>
      </c>
      <c r="K11" s="192">
        <v>59.586769642321975</v>
      </c>
      <c r="L11" s="192">
        <v>65.724206915481133</v>
      </c>
      <c r="M11" s="9"/>
      <c r="N11" s="9"/>
      <c r="O11" s="9"/>
      <c r="P11" s="9"/>
      <c r="Q11" s="9"/>
      <c r="R11" s="9"/>
      <c r="S11" s="10"/>
      <c r="T11" s="11"/>
    </row>
    <row r="12" spans="1:20" s="26" customFormat="1" ht="150" customHeight="1">
      <c r="A12" s="365">
        <v>2</v>
      </c>
      <c r="B12" s="366" t="s">
        <v>68</v>
      </c>
      <c r="C12" s="197" t="s">
        <v>69</v>
      </c>
      <c r="D12" s="189" t="s">
        <v>70</v>
      </c>
      <c r="E12" s="192">
        <v>20004.400000000001</v>
      </c>
      <c r="F12" s="192">
        <v>22054.850999999999</v>
      </c>
      <c r="G12" s="192">
        <v>23157.593550000001</v>
      </c>
      <c r="H12" s="192">
        <v>24315.47322750001</v>
      </c>
      <c r="I12" s="192">
        <v>25531.246888875001</v>
      </c>
      <c r="J12" s="192">
        <v>26807.80923331876</v>
      </c>
      <c r="K12" s="192">
        <v>28148.199694984687</v>
      </c>
      <c r="L12" s="192">
        <v>29555.609679733909</v>
      </c>
      <c r="M12" s="9"/>
      <c r="N12" s="9"/>
      <c r="O12" s="9"/>
      <c r="P12" s="9"/>
      <c r="Q12" s="9"/>
      <c r="R12" s="9"/>
      <c r="S12" s="10"/>
      <c r="T12" s="11"/>
    </row>
    <row r="13" spans="1:20" s="26" customFormat="1" ht="39.950000000000003" customHeight="1">
      <c r="A13" s="365"/>
      <c r="B13" s="366"/>
      <c r="C13" s="197" t="s">
        <v>71</v>
      </c>
      <c r="D13" s="189" t="s">
        <v>72</v>
      </c>
      <c r="E13" s="194">
        <v>50</v>
      </c>
      <c r="F13" s="192">
        <v>75</v>
      </c>
      <c r="G13" s="192">
        <v>95.85</v>
      </c>
      <c r="H13" s="192">
        <v>122.49629999999999</v>
      </c>
      <c r="I13" s="192">
        <v>0</v>
      </c>
      <c r="J13" s="192">
        <v>0</v>
      </c>
      <c r="K13" s="192">
        <v>0</v>
      </c>
      <c r="L13" s="192">
        <v>0</v>
      </c>
      <c r="M13" s="9"/>
      <c r="N13" s="9"/>
      <c r="O13" s="9"/>
      <c r="P13" s="9"/>
      <c r="Q13" s="9"/>
      <c r="R13" s="9"/>
      <c r="S13" s="10"/>
      <c r="T13" s="11"/>
    </row>
    <row r="14" spans="1:20" s="26" customFormat="1" ht="42" customHeight="1">
      <c r="A14" s="365"/>
      <c r="B14" s="366"/>
      <c r="C14" s="367" t="s">
        <v>73</v>
      </c>
      <c r="D14" s="189" t="s">
        <v>74</v>
      </c>
      <c r="E14" s="191">
        <v>2399.7359999999999</v>
      </c>
      <c r="F14" s="192">
        <v>2646.9088079999997</v>
      </c>
      <c r="G14" s="192">
        <v>2779.2542483999996</v>
      </c>
      <c r="H14" s="192">
        <v>2918.2169608199997</v>
      </c>
      <c r="I14" s="192">
        <v>3064.1278088609997</v>
      </c>
      <c r="J14" s="192">
        <v>3217.3341993040499</v>
      </c>
      <c r="K14" s="192">
        <v>3378.2009092692524</v>
      </c>
      <c r="L14" s="192">
        <v>3547.1109547327151</v>
      </c>
      <c r="M14" s="9"/>
      <c r="N14" s="9"/>
      <c r="O14" s="9"/>
      <c r="P14" s="9"/>
      <c r="Q14" s="9"/>
      <c r="R14" s="9"/>
      <c r="S14" s="10"/>
      <c r="T14" s="11"/>
    </row>
    <row r="15" spans="1:20" s="26" customFormat="1" ht="42" customHeight="1">
      <c r="A15" s="365"/>
      <c r="B15" s="366"/>
      <c r="C15" s="367"/>
      <c r="D15" s="189" t="s">
        <v>2</v>
      </c>
      <c r="E15" s="191">
        <v>3</v>
      </c>
      <c r="F15" s="192">
        <v>3</v>
      </c>
      <c r="G15" s="192">
        <v>4</v>
      </c>
      <c r="H15" s="192">
        <v>4</v>
      </c>
      <c r="I15" s="192">
        <v>5</v>
      </c>
      <c r="J15" s="192">
        <v>5</v>
      </c>
      <c r="K15" s="192">
        <v>6.25</v>
      </c>
      <c r="L15" s="192">
        <v>7.8125</v>
      </c>
      <c r="M15" s="9"/>
      <c r="N15" s="9"/>
      <c r="O15" s="9"/>
      <c r="P15" s="9"/>
      <c r="Q15" s="9"/>
      <c r="R15" s="9"/>
      <c r="S15" s="10"/>
      <c r="T15" s="11"/>
    </row>
    <row r="16" spans="1:20" s="26" customFormat="1" ht="42" customHeight="1">
      <c r="A16" s="365"/>
      <c r="B16" s="366"/>
      <c r="C16" s="367"/>
      <c r="D16" s="189" t="s">
        <v>75</v>
      </c>
      <c r="E16" s="191">
        <v>25</v>
      </c>
      <c r="F16" s="192">
        <v>35</v>
      </c>
      <c r="G16" s="192">
        <v>45.5</v>
      </c>
      <c r="H16" s="192">
        <v>59.15</v>
      </c>
      <c r="I16" s="192">
        <v>76.894999999999996</v>
      </c>
      <c r="J16" s="192">
        <v>99.963499999999996</v>
      </c>
      <c r="K16" s="192">
        <v>129.95255</v>
      </c>
      <c r="L16" s="192">
        <v>168.93831500000002</v>
      </c>
      <c r="M16" s="9"/>
      <c r="N16" s="9"/>
      <c r="O16" s="9"/>
      <c r="P16" s="9"/>
      <c r="Q16" s="9"/>
      <c r="R16" s="9"/>
      <c r="S16" s="10"/>
      <c r="T16" s="11"/>
    </row>
    <row r="17" spans="1:20" s="26" customFormat="1" ht="39.950000000000003" customHeight="1">
      <c r="A17" s="365"/>
      <c r="B17" s="366"/>
      <c r="C17" s="197" t="s">
        <v>76</v>
      </c>
      <c r="D17" s="189" t="s">
        <v>77</v>
      </c>
      <c r="E17" s="195">
        <v>3206.1371039999981</v>
      </c>
      <c r="F17" s="192">
        <v>3534.7661571599983</v>
      </c>
      <c r="G17" s="192">
        <v>3711.5044650179998</v>
      </c>
      <c r="H17" s="192">
        <v>3897.0796882688992</v>
      </c>
      <c r="I17" s="192">
        <v>4091.9336726823449</v>
      </c>
      <c r="J17" s="192">
        <v>4296.5303563164625</v>
      </c>
      <c r="K17" s="192">
        <v>4511.356874132287</v>
      </c>
      <c r="L17" s="192">
        <v>4736.9247178389023</v>
      </c>
      <c r="M17" s="9"/>
      <c r="N17" s="9"/>
      <c r="O17" s="9"/>
      <c r="P17" s="9"/>
      <c r="Q17" s="9"/>
      <c r="R17" s="9"/>
      <c r="S17" s="10"/>
      <c r="T17" s="11"/>
    </row>
    <row r="18" spans="1:20" s="26" customFormat="1" ht="39.950000000000003" customHeight="1">
      <c r="A18" s="365">
        <v>3</v>
      </c>
      <c r="B18" s="366" t="s">
        <v>8</v>
      </c>
      <c r="C18" s="197" t="s">
        <v>78</v>
      </c>
      <c r="D18" s="189" t="s">
        <v>2</v>
      </c>
      <c r="E18" s="191">
        <v>326</v>
      </c>
      <c r="F18" s="192">
        <v>406.84800000000001</v>
      </c>
      <c r="G18" s="192">
        <v>451.60128000000003</v>
      </c>
      <c r="H18" s="192">
        <v>501.27742080000002</v>
      </c>
      <c r="I18" s="192">
        <v>556.41793708800003</v>
      </c>
      <c r="J18" s="192">
        <v>617.62391016768004</v>
      </c>
      <c r="K18" s="192">
        <v>685.56254028612489</v>
      </c>
      <c r="L18" s="192">
        <v>760.97441971759872</v>
      </c>
      <c r="M18" s="9"/>
      <c r="N18" s="9"/>
      <c r="O18" s="9"/>
      <c r="P18" s="9"/>
      <c r="Q18" s="9"/>
      <c r="R18" s="9"/>
      <c r="S18" s="10"/>
      <c r="T18" s="11"/>
    </row>
    <row r="19" spans="1:20" s="26" customFormat="1" ht="39.950000000000003" customHeight="1">
      <c r="A19" s="365"/>
      <c r="B19" s="366"/>
      <c r="C19" s="197" t="s">
        <v>79</v>
      </c>
      <c r="D19" s="189" t="s">
        <v>80</v>
      </c>
      <c r="E19" s="191">
        <v>157</v>
      </c>
      <c r="F19" s="192">
        <v>243.35000000000002</v>
      </c>
      <c r="G19" s="192">
        <v>309.29785000000004</v>
      </c>
      <c r="H19" s="192">
        <v>392.80826950000005</v>
      </c>
      <c r="I19" s="192">
        <v>498.86650226500007</v>
      </c>
      <c r="J19" s="192">
        <v>633.56045787655012</v>
      </c>
      <c r="K19" s="192">
        <v>804.6217815032187</v>
      </c>
      <c r="L19" s="192">
        <v>1021.8696625090878</v>
      </c>
      <c r="M19" s="9"/>
      <c r="N19" s="9"/>
      <c r="O19" s="9"/>
      <c r="P19" s="9"/>
      <c r="Q19" s="9"/>
      <c r="R19" s="9"/>
      <c r="S19" s="10"/>
      <c r="T19" s="11"/>
    </row>
    <row r="20" spans="1:20" s="26" customFormat="1" ht="39.950000000000003" customHeight="1">
      <c r="A20" s="365"/>
      <c r="B20" s="366"/>
      <c r="C20" s="197" t="s">
        <v>81</v>
      </c>
      <c r="D20" s="189" t="s">
        <v>2</v>
      </c>
      <c r="E20" s="191">
        <v>395</v>
      </c>
      <c r="F20" s="192">
        <v>560.9</v>
      </c>
      <c r="G20" s="192">
        <v>684.298</v>
      </c>
      <c r="H20" s="192">
        <v>821.1576</v>
      </c>
      <c r="I20" s="192">
        <v>985.38912000000005</v>
      </c>
      <c r="J20" s="192">
        <v>1202.1747264000001</v>
      </c>
      <c r="K20" s="192">
        <v>1442.60967168</v>
      </c>
      <c r="L20" s="192">
        <v>1731.131606016</v>
      </c>
      <c r="M20" s="9"/>
      <c r="N20" s="9"/>
      <c r="O20" s="9"/>
      <c r="P20" s="9"/>
      <c r="Q20" s="9"/>
      <c r="R20" s="9"/>
      <c r="S20" s="10"/>
      <c r="T20" s="11"/>
    </row>
    <row r="21" spans="1:20" s="26" customFormat="1" ht="80.099999999999994" customHeight="1">
      <c r="A21" s="365">
        <v>4</v>
      </c>
      <c r="B21" s="366" t="s">
        <v>9</v>
      </c>
      <c r="C21" s="197" t="s">
        <v>82</v>
      </c>
      <c r="D21" s="189" t="s">
        <v>83</v>
      </c>
      <c r="E21" s="191">
        <v>1662516.6666666672</v>
      </c>
      <c r="F21" s="192">
        <v>1832924.6250000007</v>
      </c>
      <c r="G21" s="192">
        <v>1924570.8562500004</v>
      </c>
      <c r="H21" s="192">
        <v>2020799.3990625008</v>
      </c>
      <c r="I21" s="192">
        <v>2121839.3690156261</v>
      </c>
      <c r="J21" s="192">
        <v>2227931.3374664076</v>
      </c>
      <c r="K21" s="192">
        <v>2339327.9043397279</v>
      </c>
      <c r="L21" s="192">
        <v>2456294.2995567145</v>
      </c>
      <c r="M21" s="9"/>
      <c r="N21" s="9"/>
      <c r="O21" s="9"/>
      <c r="P21" s="9"/>
      <c r="Q21" s="9"/>
      <c r="R21" s="9"/>
      <c r="S21" s="10"/>
      <c r="T21" s="11"/>
    </row>
    <row r="22" spans="1:20" s="26" customFormat="1" ht="44.25" customHeight="1">
      <c r="A22" s="365"/>
      <c r="B22" s="366"/>
      <c r="C22" s="367" t="s">
        <v>84</v>
      </c>
      <c r="D22" s="196" t="s">
        <v>85</v>
      </c>
      <c r="E22" s="191">
        <v>10100</v>
      </c>
      <c r="F22" s="192">
        <v>10661.56</v>
      </c>
      <c r="G22" s="192">
        <v>10981.406799999999</v>
      </c>
      <c r="H22" s="192">
        <v>11310.849004</v>
      </c>
      <c r="I22" s="192">
        <v>11650.17447412</v>
      </c>
      <c r="J22" s="192">
        <v>11999.679708343599</v>
      </c>
      <c r="K22" s="192">
        <v>12359.670099593908</v>
      </c>
      <c r="L22" s="192">
        <v>12730.460202581726</v>
      </c>
      <c r="M22" s="9"/>
      <c r="N22" s="9"/>
      <c r="O22" s="9"/>
      <c r="P22" s="9"/>
      <c r="Q22" s="9"/>
      <c r="R22" s="9"/>
      <c r="S22" s="10"/>
      <c r="T22" s="11"/>
    </row>
    <row r="23" spans="1:20" s="26" customFormat="1" ht="45" customHeight="1">
      <c r="A23" s="365"/>
      <c r="B23" s="366"/>
      <c r="C23" s="367"/>
      <c r="D23" s="196" t="s">
        <v>86</v>
      </c>
      <c r="E23" s="191">
        <v>0</v>
      </c>
      <c r="F23" s="192">
        <v>0</v>
      </c>
      <c r="G23" s="192">
        <v>100</v>
      </c>
      <c r="H23" s="192">
        <v>171</v>
      </c>
      <c r="I23" s="192">
        <v>292.40999999999997</v>
      </c>
      <c r="J23" s="192">
        <v>500.02109999999993</v>
      </c>
      <c r="K23" s="192">
        <v>500</v>
      </c>
      <c r="L23" s="192">
        <v>500</v>
      </c>
      <c r="M23" s="9"/>
      <c r="N23" s="9"/>
      <c r="O23" s="9"/>
      <c r="P23" s="9"/>
      <c r="Q23" s="9"/>
      <c r="R23" s="9"/>
      <c r="S23" s="10"/>
      <c r="T23" s="11"/>
    </row>
    <row r="24" spans="1:20" s="26" customFormat="1" ht="33" customHeight="1">
      <c r="A24" s="365"/>
      <c r="B24" s="366"/>
      <c r="C24" s="367" t="s">
        <v>87</v>
      </c>
      <c r="D24" s="189" t="s">
        <v>6</v>
      </c>
      <c r="E24" s="191">
        <v>29.6</v>
      </c>
      <c r="F24" s="192">
        <v>43.689600000000006</v>
      </c>
      <c r="G24" s="192">
        <v>53.738208000000007</v>
      </c>
      <c r="H24" s="192">
        <v>66.09799584000001</v>
      </c>
      <c r="I24" s="192">
        <v>81.300534883200015</v>
      </c>
      <c r="J24" s="192">
        <v>99.999657906336012</v>
      </c>
      <c r="K24" s="192">
        <v>100</v>
      </c>
      <c r="L24" s="192">
        <v>100</v>
      </c>
      <c r="M24" s="9"/>
      <c r="N24" s="9"/>
      <c r="O24" s="9"/>
      <c r="P24" s="9"/>
      <c r="Q24" s="9"/>
      <c r="R24" s="9"/>
      <c r="S24" s="10"/>
      <c r="T24" s="11"/>
    </row>
    <row r="25" spans="1:20" s="26" customFormat="1" ht="37.5" customHeight="1">
      <c r="A25" s="365"/>
      <c r="B25" s="366"/>
      <c r="C25" s="367"/>
      <c r="D25" s="189" t="s">
        <v>88</v>
      </c>
      <c r="E25" s="191">
        <v>10</v>
      </c>
      <c r="F25" s="192">
        <v>11.5</v>
      </c>
      <c r="G25" s="192">
        <v>12.42</v>
      </c>
      <c r="H25" s="192">
        <v>13.413600000000001</v>
      </c>
      <c r="I25" s="192">
        <v>14.486688000000001</v>
      </c>
      <c r="J25" s="192">
        <v>15.64562304</v>
      </c>
      <c r="K25" s="192">
        <v>16</v>
      </c>
      <c r="L25" s="192">
        <v>16</v>
      </c>
      <c r="M25" s="9"/>
      <c r="N25" s="9"/>
      <c r="O25" s="9"/>
      <c r="P25" s="9"/>
      <c r="Q25" s="9"/>
      <c r="R25" s="9"/>
      <c r="S25" s="10"/>
      <c r="T25" s="11"/>
    </row>
    <row r="26" spans="1:20" ht="63.75" customHeight="1">
      <c r="A26" s="364"/>
      <c r="B26" s="364"/>
      <c r="C26" s="364"/>
      <c r="D26" s="364"/>
      <c r="E26" s="364"/>
      <c r="F26" s="364"/>
      <c r="G26" s="364"/>
      <c r="H26" s="364"/>
      <c r="I26" s="364"/>
      <c r="J26" s="364"/>
      <c r="K26" s="364"/>
      <c r="L26" s="364"/>
    </row>
    <row r="27" spans="1:20" ht="24.95" customHeight="1"/>
    <row r="28" spans="1:20" ht="24.95" customHeight="1"/>
    <row r="29" spans="1:20" ht="24.95" customHeight="1">
      <c r="E29" s="314"/>
      <c r="F29" s="314"/>
      <c r="G29" s="314"/>
      <c r="H29" s="314"/>
      <c r="I29" s="314"/>
      <c r="J29" s="314"/>
    </row>
    <row r="30" spans="1:20" ht="24.95" customHeight="1">
      <c r="E30" s="314"/>
    </row>
    <row r="31" spans="1:20" ht="24.95" customHeight="1">
      <c r="D31" s="174"/>
      <c r="E31" s="314"/>
      <c r="F31" s="174"/>
      <c r="G31" s="174"/>
      <c r="H31" s="174"/>
      <c r="I31" s="174"/>
      <c r="J31" s="174"/>
      <c r="L31" s="174"/>
    </row>
    <row r="32" spans="1:20" ht="24.95" customHeight="1">
      <c r="E32" s="314"/>
    </row>
    <row r="33" spans="5:11" ht="24.95" customHeight="1">
      <c r="E33" s="314"/>
    </row>
    <row r="34" spans="5:11" ht="24.95" customHeight="1">
      <c r="E34" s="314"/>
      <c r="G34" s="27"/>
      <c r="H34" s="27"/>
      <c r="I34" s="27"/>
      <c r="J34" s="27"/>
      <c r="K34" s="348"/>
    </row>
    <row r="35" spans="5:11" ht="24.95" customHeight="1">
      <c r="E35" s="314"/>
    </row>
    <row r="36" spans="5:11" ht="24.95" customHeight="1">
      <c r="E36" s="314"/>
    </row>
    <row r="37" spans="5:11" ht="24.95" customHeight="1">
      <c r="E37" s="314"/>
    </row>
    <row r="38" spans="5:11" ht="24.95" customHeight="1">
      <c r="E38" s="314"/>
    </row>
    <row r="39" spans="5:11" ht="24.95" customHeight="1"/>
    <row r="40" spans="5:11" ht="24.95" customHeight="1"/>
    <row r="41" spans="5:11" ht="24.95" customHeight="1"/>
    <row r="42" spans="5:11" ht="24.95" customHeight="1"/>
    <row r="43" spans="5:11" ht="24.95" customHeight="1"/>
    <row r="44" spans="5:11" ht="24.95" customHeight="1"/>
  </sheetData>
  <mergeCells count="20">
    <mergeCell ref="A26:L26"/>
    <mergeCell ref="A4:A11"/>
    <mergeCell ref="B4:B11"/>
    <mergeCell ref="C5:C6"/>
    <mergeCell ref="C7:C8"/>
    <mergeCell ref="A12:A17"/>
    <mergeCell ref="B12:B17"/>
    <mergeCell ref="C14:C16"/>
    <mergeCell ref="A18:A20"/>
    <mergeCell ref="B18:B20"/>
    <mergeCell ref="A21:A25"/>
    <mergeCell ref="B21:B25"/>
    <mergeCell ref="C22:C23"/>
    <mergeCell ref="C24:C25"/>
    <mergeCell ref="A2:A3"/>
    <mergeCell ref="B2:B3"/>
    <mergeCell ref="C2:D2"/>
    <mergeCell ref="E2:E3"/>
    <mergeCell ref="A1:L1"/>
    <mergeCell ref="F2:L2"/>
  </mergeCells>
  <pageMargins left="0.7" right="0.7" top="0.75" bottom="0.75" header="0.3" footer="0.3"/>
  <pageSetup paperSize="9" scale="67" orientation="portrait" r:id="rId1"/>
  <rowBreaks count="1" manualBreakCount="1">
    <brk id="13" max="16383" man="1"/>
  </rowBreaks>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rightToLeft="1" workbookViewId="0">
      <pane xSplit="8" topLeftCell="I1" activePane="topRight" state="frozen"/>
      <selection pane="topRight" sqref="A1:H1"/>
    </sheetView>
  </sheetViews>
  <sheetFormatPr defaultColWidth="25" defaultRowHeight="54.95" customHeight="1"/>
  <cols>
    <col min="1" max="1" width="10.33203125" style="147" customWidth="1"/>
    <col min="2" max="2" width="10.1640625" style="147" hidden="1" customWidth="1"/>
    <col min="3" max="3" width="11.1640625" style="147" customWidth="1"/>
    <col min="4" max="4" width="49.83203125" style="147" customWidth="1"/>
    <col min="5" max="7" width="26.5" style="147" customWidth="1"/>
    <col min="8" max="8" width="12.6640625" style="147" customWidth="1"/>
    <col min="9" max="16384" width="25" style="147"/>
  </cols>
  <sheetData>
    <row r="1" spans="1:8" s="163" customFormat="1" ht="24.95" customHeight="1">
      <c r="A1" s="405" t="s">
        <v>1206</v>
      </c>
      <c r="B1" s="405"/>
      <c r="C1" s="405"/>
      <c r="D1" s="405"/>
      <c r="E1" s="405"/>
      <c r="F1" s="405"/>
      <c r="G1" s="405"/>
      <c r="H1" s="405"/>
    </row>
    <row r="2" spans="1:8" s="163" customFormat="1" ht="24.95" customHeight="1">
      <c r="A2" s="405" t="s">
        <v>1236</v>
      </c>
      <c r="B2" s="405"/>
      <c r="C2" s="405"/>
      <c r="D2" s="405"/>
      <c r="E2" s="405"/>
      <c r="F2" s="405"/>
      <c r="G2" s="405"/>
      <c r="H2" s="405"/>
    </row>
    <row r="3" spans="1:8" s="163" customFormat="1" ht="75" customHeight="1">
      <c r="A3" s="405" t="s">
        <v>1237</v>
      </c>
      <c r="B3" s="405"/>
      <c r="C3" s="405"/>
      <c r="D3" s="405"/>
      <c r="E3" s="405"/>
      <c r="F3" s="405"/>
      <c r="G3" s="405"/>
      <c r="H3" s="405"/>
    </row>
    <row r="4" spans="1:8" s="163" customFormat="1" ht="24.95" customHeight="1">
      <c r="A4" s="405" t="s">
        <v>737</v>
      </c>
      <c r="B4" s="405"/>
      <c r="C4" s="405"/>
      <c r="D4" s="405"/>
      <c r="E4" s="405"/>
      <c r="F4" s="405"/>
      <c r="G4" s="405"/>
      <c r="H4" s="405"/>
    </row>
    <row r="5" spans="1:8" ht="24.95" customHeight="1">
      <c r="A5" s="404" t="s">
        <v>1238</v>
      </c>
      <c r="B5" s="404"/>
      <c r="C5" s="404"/>
      <c r="D5" s="404"/>
      <c r="E5" s="404"/>
      <c r="F5" s="404"/>
      <c r="G5" s="404"/>
      <c r="H5" s="404"/>
    </row>
    <row r="6" spans="1:8" ht="24.95" customHeight="1">
      <c r="A6" s="404" t="s">
        <v>1239</v>
      </c>
      <c r="B6" s="404"/>
      <c r="C6" s="404"/>
      <c r="D6" s="404"/>
      <c r="E6" s="404"/>
      <c r="F6" s="404"/>
      <c r="G6" s="404"/>
      <c r="H6" s="404"/>
    </row>
    <row r="7" spans="1:8" ht="24.95" customHeight="1">
      <c r="A7" s="404" t="s">
        <v>1240</v>
      </c>
      <c r="B7" s="404"/>
      <c r="C7" s="404"/>
      <c r="D7" s="404"/>
      <c r="E7" s="404"/>
      <c r="F7" s="404"/>
      <c r="G7" s="404"/>
      <c r="H7" s="404"/>
    </row>
    <row r="8" spans="1:8" ht="24.95" customHeight="1">
      <c r="A8" s="404" t="s">
        <v>1241</v>
      </c>
      <c r="B8" s="404"/>
      <c r="C8" s="404"/>
      <c r="D8" s="404"/>
      <c r="E8" s="404"/>
      <c r="F8" s="404"/>
      <c r="G8" s="404"/>
      <c r="H8" s="404"/>
    </row>
    <row r="9" spans="1:8" ht="24.95" customHeight="1">
      <c r="A9" s="404" t="s">
        <v>1242</v>
      </c>
      <c r="B9" s="404"/>
      <c r="C9" s="404"/>
      <c r="D9" s="404"/>
      <c r="E9" s="404"/>
      <c r="F9" s="404"/>
      <c r="G9" s="404"/>
      <c r="H9" s="404"/>
    </row>
    <row r="10" spans="1:8" ht="24.95" customHeight="1">
      <c r="A10" s="404" t="s">
        <v>1243</v>
      </c>
      <c r="B10" s="404"/>
      <c r="C10" s="404"/>
      <c r="D10" s="404"/>
      <c r="E10" s="404"/>
      <c r="F10" s="404"/>
      <c r="G10" s="404"/>
      <c r="H10" s="404"/>
    </row>
    <row r="11" spans="1:8" ht="24.95" customHeight="1">
      <c r="A11" s="404" t="s">
        <v>1244</v>
      </c>
      <c r="B11" s="404"/>
      <c r="C11" s="404"/>
      <c r="D11" s="404"/>
      <c r="E11" s="404"/>
      <c r="F11" s="404"/>
      <c r="G11" s="404"/>
      <c r="H11" s="404"/>
    </row>
    <row r="12" spans="1:8" ht="24.95" customHeight="1">
      <c r="A12" s="404" t="s">
        <v>1245</v>
      </c>
      <c r="B12" s="404"/>
      <c r="C12" s="404"/>
      <c r="D12" s="404"/>
      <c r="E12" s="404"/>
      <c r="F12" s="404"/>
      <c r="G12" s="404"/>
      <c r="H12" s="404"/>
    </row>
    <row r="13" spans="1:8" ht="24.95" customHeight="1">
      <c r="A13" s="404" t="s">
        <v>1246</v>
      </c>
      <c r="B13" s="404"/>
      <c r="C13" s="404"/>
      <c r="D13" s="404"/>
      <c r="E13" s="404"/>
      <c r="F13" s="404"/>
      <c r="G13" s="404"/>
      <c r="H13" s="404"/>
    </row>
    <row r="14" spans="1:8" ht="24.95" customHeight="1">
      <c r="A14" s="404" t="s">
        <v>1247</v>
      </c>
      <c r="B14" s="404"/>
      <c r="C14" s="404"/>
      <c r="D14" s="404"/>
      <c r="E14" s="404"/>
      <c r="F14" s="404"/>
      <c r="G14" s="404"/>
      <c r="H14" s="404"/>
    </row>
    <row r="15" spans="1:8" ht="24.95" customHeight="1">
      <c r="A15" s="404" t="s">
        <v>1248</v>
      </c>
      <c r="B15" s="404"/>
      <c r="C15" s="404"/>
      <c r="D15" s="404"/>
      <c r="E15" s="404"/>
      <c r="F15" s="404"/>
      <c r="G15" s="404"/>
      <c r="H15" s="404"/>
    </row>
    <row r="16" spans="1:8" ht="24.95" customHeight="1">
      <c r="A16" s="404" t="s">
        <v>1249</v>
      </c>
      <c r="B16" s="404"/>
      <c r="C16" s="404"/>
      <c r="D16" s="404"/>
      <c r="E16" s="404"/>
      <c r="F16" s="404"/>
      <c r="G16" s="404"/>
      <c r="H16" s="404"/>
    </row>
    <row r="17" spans="1:8" ht="24.95" customHeight="1">
      <c r="A17" s="404" t="s">
        <v>1250</v>
      </c>
      <c r="B17" s="404"/>
      <c r="C17" s="404"/>
      <c r="D17" s="404"/>
      <c r="E17" s="404"/>
      <c r="F17" s="404"/>
      <c r="G17" s="404"/>
      <c r="H17" s="404"/>
    </row>
    <row r="18" spans="1:8" ht="24.95" customHeight="1">
      <c r="A18" s="404" t="s">
        <v>1251</v>
      </c>
      <c r="B18" s="404"/>
      <c r="C18" s="404"/>
      <c r="D18" s="404"/>
      <c r="E18" s="404"/>
      <c r="F18" s="404"/>
      <c r="G18" s="404"/>
      <c r="H18" s="404"/>
    </row>
    <row r="19" spans="1:8" ht="24.95" customHeight="1">
      <c r="A19" s="404" t="s">
        <v>1252</v>
      </c>
      <c r="B19" s="404"/>
      <c r="C19" s="404"/>
      <c r="D19" s="404"/>
      <c r="E19" s="404"/>
      <c r="F19" s="404"/>
      <c r="G19" s="404"/>
      <c r="H19" s="404"/>
    </row>
    <row r="20" spans="1:8" ht="24.95" customHeight="1">
      <c r="A20" s="404" t="s">
        <v>1398</v>
      </c>
      <c r="B20" s="404"/>
      <c r="C20" s="404"/>
      <c r="D20" s="404"/>
      <c r="E20" s="404"/>
      <c r="F20" s="404"/>
      <c r="G20" s="404"/>
      <c r="H20" s="404"/>
    </row>
    <row r="21" spans="1:8" ht="24.95" customHeight="1">
      <c r="A21" s="404" t="s">
        <v>1253</v>
      </c>
      <c r="B21" s="404"/>
      <c r="C21" s="404"/>
      <c r="D21" s="404"/>
      <c r="E21" s="404"/>
      <c r="F21" s="404"/>
      <c r="G21" s="404"/>
      <c r="H21" s="404"/>
    </row>
    <row r="22" spans="1:8" ht="38.1" customHeight="1" thickBot="1">
      <c r="A22" s="404" t="s">
        <v>1254</v>
      </c>
      <c r="B22" s="404"/>
      <c r="C22" s="404"/>
      <c r="D22" s="404"/>
      <c r="E22" s="404"/>
      <c r="F22" s="404"/>
      <c r="G22" s="404"/>
      <c r="H22" s="404"/>
    </row>
    <row r="23" spans="1:8" s="146" customFormat="1" ht="47.25" customHeight="1" thickTop="1" thickBot="1">
      <c r="A23" s="408"/>
      <c r="B23" s="149" t="s">
        <v>0</v>
      </c>
      <c r="C23" s="287" t="s">
        <v>0</v>
      </c>
      <c r="D23" s="223" t="s">
        <v>626</v>
      </c>
      <c r="E23" s="224" t="s">
        <v>758</v>
      </c>
      <c r="F23" s="224" t="s">
        <v>759</v>
      </c>
      <c r="G23" s="224" t="s">
        <v>760</v>
      </c>
      <c r="H23" s="409"/>
    </row>
    <row r="24" spans="1:8" s="146" customFormat="1" ht="65.099999999999994" customHeight="1" thickTop="1">
      <c r="A24" s="408"/>
      <c r="B24" s="169"/>
      <c r="C24" s="308" t="s">
        <v>1255</v>
      </c>
      <c r="D24" s="288" t="s">
        <v>727</v>
      </c>
      <c r="E24" s="227" t="s">
        <v>86</v>
      </c>
      <c r="F24" s="227">
        <v>0</v>
      </c>
      <c r="G24" s="227">
        <v>500</v>
      </c>
      <c r="H24" s="409"/>
    </row>
    <row r="25" spans="1:8" s="146" customFormat="1" ht="65.099999999999994" customHeight="1">
      <c r="A25" s="408"/>
      <c r="B25" s="169"/>
      <c r="C25" s="308" t="s">
        <v>1256</v>
      </c>
      <c r="D25" s="288" t="s">
        <v>1257</v>
      </c>
      <c r="E25" s="227" t="s">
        <v>86</v>
      </c>
      <c r="F25" s="227">
        <v>0</v>
      </c>
      <c r="G25" s="227">
        <v>50</v>
      </c>
      <c r="H25" s="409"/>
    </row>
    <row r="26" spans="1:8" s="146" customFormat="1" ht="65.099999999999994" customHeight="1">
      <c r="A26" s="408"/>
      <c r="B26" s="169"/>
      <c r="C26" s="308" t="s">
        <v>1258</v>
      </c>
      <c r="D26" s="288" t="s">
        <v>728</v>
      </c>
      <c r="E26" s="227" t="s">
        <v>729</v>
      </c>
      <c r="F26" s="227">
        <v>5762</v>
      </c>
      <c r="G26" s="294">
        <f>F26+(F26*25%)</f>
        <v>7202.5</v>
      </c>
      <c r="H26" s="409"/>
    </row>
    <row r="27" spans="1:8" ht="65.099999999999994" customHeight="1">
      <c r="A27" s="406"/>
      <c r="B27" s="406"/>
      <c r="C27" s="406"/>
      <c r="D27" s="406"/>
      <c r="E27" s="406"/>
      <c r="F27" s="406"/>
      <c r="G27" s="406"/>
      <c r="H27" s="406"/>
    </row>
    <row r="28" spans="1:8" ht="54.95" customHeight="1">
      <c r="A28" s="541"/>
      <c r="B28" s="541"/>
      <c r="C28" s="541"/>
      <c r="D28" s="541"/>
      <c r="E28" s="541"/>
      <c r="F28" s="541"/>
      <c r="G28" s="541"/>
      <c r="H28" s="541"/>
    </row>
  </sheetData>
  <mergeCells count="26">
    <mergeCell ref="A27:H27"/>
    <mergeCell ref="A28:H28"/>
    <mergeCell ref="A19:H19"/>
    <mergeCell ref="A20:H20"/>
    <mergeCell ref="A21:H21"/>
    <mergeCell ref="A22:H22"/>
    <mergeCell ref="A23:A26"/>
    <mergeCell ref="H23:H26"/>
    <mergeCell ref="A18:H18"/>
    <mergeCell ref="A7:H7"/>
    <mergeCell ref="A8:H8"/>
    <mergeCell ref="A9:H9"/>
    <mergeCell ref="A10:H10"/>
    <mergeCell ref="A11:H11"/>
    <mergeCell ref="A12:H12"/>
    <mergeCell ref="A13:H13"/>
    <mergeCell ref="A14:H14"/>
    <mergeCell ref="A15:H15"/>
    <mergeCell ref="A16:H16"/>
    <mergeCell ref="A17:H17"/>
    <mergeCell ref="A6:H6"/>
    <mergeCell ref="A1:H1"/>
    <mergeCell ref="A2:H2"/>
    <mergeCell ref="A3:H3"/>
    <mergeCell ref="A4:H4"/>
    <mergeCell ref="A5:H5"/>
  </mergeCells>
  <printOptions headings="1"/>
  <pageMargins left="0.7" right="0.28999999999999998" top="0.75" bottom="0.75" header="0.3" footer="0.3"/>
  <pageSetup paperSize="9" scale="62" orientation="portrait" r:id="rId1"/>
  <rowBreaks count="1" manualBreakCount="1">
    <brk id="22" max="16383" man="1"/>
  </rowBreaks>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1"/>
  <sheetViews>
    <sheetView showGridLines="0" rightToLeft="1" workbookViewId="0">
      <pane xSplit="14" topLeftCell="O1" activePane="topRight" state="frozen"/>
      <selection activeCell="F12" sqref="F12"/>
      <selection pane="topRight" sqref="A1:N1"/>
    </sheetView>
  </sheetViews>
  <sheetFormatPr defaultColWidth="10.6640625" defaultRowHeight="35.1" customHeight="1"/>
  <cols>
    <col min="1" max="1" width="7.6640625" style="35" customWidth="1"/>
    <col min="2" max="2" width="27.5" style="35" customWidth="1"/>
    <col min="3" max="3" width="13.1640625" style="35" customWidth="1"/>
    <col min="4" max="4" width="13.1640625" style="52" customWidth="1"/>
    <col min="5" max="13" width="10.1640625" style="52" customWidth="1"/>
    <col min="14" max="14" width="10.6640625" style="53" customWidth="1"/>
    <col min="15" max="18" width="8.6640625" style="32" customWidth="1"/>
    <col min="19" max="19" width="8.6640625" style="33" customWidth="1"/>
    <col min="20" max="20" width="13.33203125" style="34" customWidth="1"/>
    <col min="21" max="21" width="10.6640625" style="33"/>
    <col min="22" max="16384" width="10.6640625" style="35"/>
  </cols>
  <sheetData>
    <row r="1" spans="1:21" ht="42" customHeight="1">
      <c r="A1" s="443" t="s">
        <v>120</v>
      </c>
      <c r="B1" s="443"/>
      <c r="C1" s="443"/>
      <c r="D1" s="443"/>
      <c r="E1" s="443"/>
      <c r="F1" s="443"/>
      <c r="G1" s="443"/>
      <c r="H1" s="443"/>
      <c r="I1" s="443"/>
      <c r="J1" s="443"/>
      <c r="K1" s="443"/>
      <c r="L1" s="443"/>
      <c r="M1" s="443"/>
      <c r="N1" s="443"/>
    </row>
    <row r="2" spans="1:21" s="38" customFormat="1" ht="25.5" customHeight="1">
      <c r="A2" s="374" t="s">
        <v>0</v>
      </c>
      <c r="B2" s="374" t="s">
        <v>11</v>
      </c>
      <c r="C2" s="374" t="s">
        <v>102</v>
      </c>
      <c r="D2" s="375" t="s">
        <v>103</v>
      </c>
      <c r="E2" s="375" t="s">
        <v>104</v>
      </c>
      <c r="F2" s="375"/>
      <c r="G2" s="375"/>
      <c r="H2" s="375"/>
      <c r="I2" s="375"/>
      <c r="J2" s="375" t="s">
        <v>105</v>
      </c>
      <c r="K2" s="375"/>
      <c r="L2" s="375"/>
      <c r="M2" s="375"/>
      <c r="N2" s="375"/>
      <c r="O2" s="32"/>
      <c r="P2" s="32"/>
      <c r="Q2" s="32"/>
      <c r="R2" s="32"/>
      <c r="S2" s="36"/>
      <c r="T2" s="37"/>
      <c r="U2" s="36"/>
    </row>
    <row r="3" spans="1:21" s="38" customFormat="1" ht="20.100000000000001" customHeight="1">
      <c r="A3" s="374"/>
      <c r="B3" s="374"/>
      <c r="C3" s="374"/>
      <c r="D3" s="375"/>
      <c r="E3" s="375" t="s">
        <v>106</v>
      </c>
      <c r="F3" s="375"/>
      <c r="G3" s="461">
        <v>1397</v>
      </c>
      <c r="H3" s="461">
        <v>1398</v>
      </c>
      <c r="I3" s="461">
        <v>1399</v>
      </c>
      <c r="J3" s="461">
        <v>1400</v>
      </c>
      <c r="K3" s="461">
        <v>1401</v>
      </c>
      <c r="L3" s="461">
        <v>1402</v>
      </c>
      <c r="M3" s="461">
        <v>1403</v>
      </c>
      <c r="N3" s="461">
        <v>1404</v>
      </c>
      <c r="O3" s="32"/>
      <c r="P3" s="32"/>
      <c r="Q3" s="32"/>
      <c r="R3" s="32"/>
      <c r="S3" s="36"/>
      <c r="T3" s="37"/>
      <c r="U3" s="36"/>
    </row>
    <row r="4" spans="1:21" s="87" customFormat="1" ht="21" customHeight="1">
      <c r="A4" s="374"/>
      <c r="B4" s="374"/>
      <c r="C4" s="374"/>
      <c r="D4" s="375"/>
      <c r="E4" s="289">
        <v>1395</v>
      </c>
      <c r="F4" s="289">
        <v>1396</v>
      </c>
      <c r="G4" s="461"/>
      <c r="H4" s="461"/>
      <c r="I4" s="461"/>
      <c r="J4" s="461"/>
      <c r="K4" s="461"/>
      <c r="L4" s="461"/>
      <c r="M4" s="461"/>
      <c r="N4" s="461"/>
      <c r="O4" s="83"/>
      <c r="P4" s="83"/>
      <c r="Q4" s="84"/>
      <c r="R4" s="83"/>
      <c r="S4" s="85"/>
      <c r="T4" s="86"/>
      <c r="U4" s="85"/>
    </row>
    <row r="5" spans="1:21" s="87" customFormat="1" ht="35.1" customHeight="1">
      <c r="A5" s="290">
        <v>1</v>
      </c>
      <c r="B5" s="205" t="s">
        <v>14</v>
      </c>
      <c r="C5" s="206">
        <f>($A$200+$B$200)*'[39]نرخ تسهیم'!Q3</f>
        <v>334.22377696375912</v>
      </c>
      <c r="D5" s="207">
        <f>C5*1.05</f>
        <v>350.93496581194711</v>
      </c>
      <c r="E5" s="207">
        <f t="shared" ref="E5:N5" si="0">D5*1.05</f>
        <v>368.48171410254446</v>
      </c>
      <c r="F5" s="207">
        <f t="shared" si="0"/>
        <v>386.90579980767171</v>
      </c>
      <c r="G5" s="207">
        <f t="shared" si="0"/>
        <v>406.25108979805532</v>
      </c>
      <c r="H5" s="207">
        <f t="shared" si="0"/>
        <v>426.56364428795808</v>
      </c>
      <c r="I5" s="207">
        <f t="shared" si="0"/>
        <v>447.89182650235603</v>
      </c>
      <c r="J5" s="207">
        <f t="shared" si="0"/>
        <v>470.28641782747383</v>
      </c>
      <c r="K5" s="207">
        <f t="shared" si="0"/>
        <v>493.80073871884753</v>
      </c>
      <c r="L5" s="207">
        <f t="shared" si="0"/>
        <v>518.4907756547899</v>
      </c>
      <c r="M5" s="207">
        <f t="shared" si="0"/>
        <v>544.41531443752945</v>
      </c>
      <c r="N5" s="207">
        <f t="shared" si="0"/>
        <v>571.63608015940599</v>
      </c>
      <c r="O5" s="83"/>
      <c r="P5" s="83"/>
      <c r="Q5" s="84"/>
      <c r="R5" s="84"/>
      <c r="S5" s="84"/>
      <c r="T5" s="86"/>
      <c r="U5" s="85"/>
    </row>
    <row r="6" spans="1:21" s="87" customFormat="1" ht="35.1" customHeight="1">
      <c r="A6" s="290">
        <v>2</v>
      </c>
      <c r="B6" s="205" t="s">
        <v>15</v>
      </c>
      <c r="C6" s="206">
        <f>($A$200+$B$200)*'[39]نرخ تسهیم'!Q4</f>
        <v>391.77047834677848</v>
      </c>
      <c r="D6" s="207">
        <f t="shared" ref="D6:N21" si="1">C6*1.05</f>
        <v>411.35900226411741</v>
      </c>
      <c r="E6" s="207">
        <f t="shared" si="1"/>
        <v>431.92695237732329</v>
      </c>
      <c r="F6" s="207">
        <f t="shared" si="1"/>
        <v>453.52329999618945</v>
      </c>
      <c r="G6" s="207">
        <f t="shared" si="1"/>
        <v>476.19946499599894</v>
      </c>
      <c r="H6" s="207">
        <f t="shared" si="1"/>
        <v>500.00943824579889</v>
      </c>
      <c r="I6" s="207">
        <f t="shared" si="1"/>
        <v>525.00991015808881</v>
      </c>
      <c r="J6" s="207">
        <f t="shared" si="1"/>
        <v>551.26040566599329</v>
      </c>
      <c r="K6" s="207">
        <f t="shared" si="1"/>
        <v>578.82342594929298</v>
      </c>
      <c r="L6" s="207">
        <f t="shared" si="1"/>
        <v>607.7645972467576</v>
      </c>
      <c r="M6" s="207">
        <f t="shared" si="1"/>
        <v>638.15282710909548</v>
      </c>
      <c r="N6" s="207">
        <f t="shared" si="1"/>
        <v>670.06046846455024</v>
      </c>
      <c r="O6" s="83"/>
      <c r="P6" s="83"/>
      <c r="Q6" s="84"/>
      <c r="R6" s="84"/>
      <c r="S6" s="84"/>
      <c r="T6" s="86"/>
      <c r="U6" s="85"/>
    </row>
    <row r="7" spans="1:21" s="87" customFormat="1" ht="35.1" customHeight="1">
      <c r="A7" s="290">
        <v>3</v>
      </c>
      <c r="B7" s="205" t="s">
        <v>16</v>
      </c>
      <c r="C7" s="206">
        <f>($A$200+$B$200)*'[39]نرخ تسهیم'!Q5</f>
        <v>112.92776612404933</v>
      </c>
      <c r="D7" s="207">
        <f t="shared" si="1"/>
        <v>118.5741544302518</v>
      </c>
      <c r="E7" s="207">
        <f t="shared" si="1"/>
        <v>124.50286215176439</v>
      </c>
      <c r="F7" s="207">
        <f t="shared" si="1"/>
        <v>130.72800525935261</v>
      </c>
      <c r="G7" s="207">
        <f t="shared" si="1"/>
        <v>137.26440552232026</v>
      </c>
      <c r="H7" s="207">
        <f t="shared" si="1"/>
        <v>144.12762579843627</v>
      </c>
      <c r="I7" s="207">
        <f t="shared" si="1"/>
        <v>151.33400708835808</v>
      </c>
      <c r="J7" s="207">
        <f t="shared" si="1"/>
        <v>158.900707442776</v>
      </c>
      <c r="K7" s="207">
        <f t="shared" si="1"/>
        <v>166.84574281491481</v>
      </c>
      <c r="L7" s="207">
        <f t="shared" si="1"/>
        <v>175.18802995566057</v>
      </c>
      <c r="M7" s="207">
        <f t="shared" si="1"/>
        <v>183.94743145344361</v>
      </c>
      <c r="N7" s="207">
        <f t="shared" si="1"/>
        <v>193.1448030261158</v>
      </c>
      <c r="O7" s="83"/>
      <c r="P7" s="83"/>
      <c r="Q7" s="84"/>
      <c r="R7" s="84"/>
      <c r="S7" s="84"/>
      <c r="T7" s="86"/>
      <c r="U7" s="85"/>
    </row>
    <row r="8" spans="1:21" s="87" customFormat="1" ht="35.1" customHeight="1">
      <c r="A8" s="290">
        <v>4</v>
      </c>
      <c r="B8" s="205" t="s">
        <v>17</v>
      </c>
      <c r="C8" s="206">
        <f>($A$200+$B$200)*'[39]نرخ تسهیم'!Q6</f>
        <v>337.24482406315707</v>
      </c>
      <c r="D8" s="207">
        <f t="shared" si="1"/>
        <v>354.10706526631492</v>
      </c>
      <c r="E8" s="207">
        <f t="shared" si="1"/>
        <v>371.81241852963069</v>
      </c>
      <c r="F8" s="207">
        <f t="shared" si="1"/>
        <v>390.40303945611225</v>
      </c>
      <c r="G8" s="207">
        <f t="shared" si="1"/>
        <v>409.9231914289179</v>
      </c>
      <c r="H8" s="207">
        <f t="shared" si="1"/>
        <v>430.4193510003638</v>
      </c>
      <c r="I8" s="207">
        <f t="shared" si="1"/>
        <v>451.94031855038202</v>
      </c>
      <c r="J8" s="207">
        <f t="shared" si="1"/>
        <v>474.53733447790114</v>
      </c>
      <c r="K8" s="207">
        <f t="shared" si="1"/>
        <v>498.2642012017962</v>
      </c>
      <c r="L8" s="207">
        <f t="shared" si="1"/>
        <v>523.17741126188605</v>
      </c>
      <c r="M8" s="207">
        <f t="shared" si="1"/>
        <v>549.33628182498035</v>
      </c>
      <c r="N8" s="207">
        <f t="shared" si="1"/>
        <v>576.80309591622938</v>
      </c>
      <c r="O8" s="83"/>
      <c r="P8" s="83"/>
      <c r="Q8" s="84"/>
      <c r="R8" s="84"/>
      <c r="S8" s="84"/>
      <c r="T8" s="86"/>
      <c r="U8" s="85"/>
    </row>
    <row r="9" spans="1:21" s="87" customFormat="1" ht="35.1" customHeight="1">
      <c r="A9" s="290">
        <v>5</v>
      </c>
      <c r="B9" s="205" t="s">
        <v>18</v>
      </c>
      <c r="C9" s="206">
        <f>($A$200+$B$200)*'[39]نرخ تسهیم'!Q7</f>
        <v>157.18370574349026</v>
      </c>
      <c r="D9" s="207">
        <f t="shared" si="1"/>
        <v>165.04289103066478</v>
      </c>
      <c r="E9" s="207">
        <f t="shared" si="1"/>
        <v>173.29503558219801</v>
      </c>
      <c r="F9" s="207">
        <f t="shared" si="1"/>
        <v>181.95978736130792</v>
      </c>
      <c r="G9" s="207">
        <f t="shared" si="1"/>
        <v>191.05777672937333</v>
      </c>
      <c r="H9" s="207">
        <f t="shared" si="1"/>
        <v>200.610665565842</v>
      </c>
      <c r="I9" s="207">
        <f t="shared" si="1"/>
        <v>210.6411988441341</v>
      </c>
      <c r="J9" s="207">
        <f t="shared" si="1"/>
        <v>221.1732587863408</v>
      </c>
      <c r="K9" s="207">
        <f t="shared" si="1"/>
        <v>232.23192172565786</v>
      </c>
      <c r="L9" s="207">
        <f t="shared" si="1"/>
        <v>243.84351781194076</v>
      </c>
      <c r="M9" s="207">
        <f t="shared" si="1"/>
        <v>256.0356937025378</v>
      </c>
      <c r="N9" s="207">
        <f t="shared" si="1"/>
        <v>268.8374783876647</v>
      </c>
      <c r="O9" s="83"/>
      <c r="P9" s="83"/>
      <c r="Q9" s="84"/>
      <c r="R9" s="84"/>
      <c r="S9" s="84"/>
      <c r="T9" s="86"/>
      <c r="U9" s="85"/>
    </row>
    <row r="10" spans="1:21" s="87" customFormat="1" ht="35.1" customHeight="1">
      <c r="A10" s="290">
        <v>6</v>
      </c>
      <c r="B10" s="205" t="s">
        <v>19</v>
      </c>
      <c r="C10" s="206">
        <f>($A$200+$B$200)*'[39]نرخ تسهیم'!Q8</f>
        <v>53.536349004969118</v>
      </c>
      <c r="D10" s="207">
        <f t="shared" si="1"/>
        <v>56.213166455217575</v>
      </c>
      <c r="E10" s="207">
        <f t="shared" si="1"/>
        <v>59.023824777978454</v>
      </c>
      <c r="F10" s="207">
        <f t="shared" si="1"/>
        <v>61.975016016877383</v>
      </c>
      <c r="G10" s="207">
        <f t="shared" si="1"/>
        <v>65.07376681772125</v>
      </c>
      <c r="H10" s="207">
        <f t="shared" si="1"/>
        <v>68.327455158607322</v>
      </c>
      <c r="I10" s="207">
        <f t="shared" si="1"/>
        <v>71.743827916537697</v>
      </c>
      <c r="J10" s="207">
        <f t="shared" si="1"/>
        <v>75.331019312364589</v>
      </c>
      <c r="K10" s="207">
        <f t="shared" si="1"/>
        <v>79.097570277982825</v>
      </c>
      <c r="L10" s="207">
        <f t="shared" si="1"/>
        <v>83.052448791881972</v>
      </c>
      <c r="M10" s="207">
        <f t="shared" si="1"/>
        <v>87.205071231476069</v>
      </c>
      <c r="N10" s="207">
        <f t="shared" si="1"/>
        <v>91.565324793049882</v>
      </c>
      <c r="O10" s="83"/>
      <c r="P10" s="83"/>
      <c r="Q10" s="84"/>
      <c r="R10" s="84"/>
      <c r="S10" s="84"/>
      <c r="T10" s="86"/>
      <c r="U10" s="85"/>
    </row>
    <row r="11" spans="1:21" s="87" customFormat="1" ht="35.1" customHeight="1">
      <c r="A11" s="290">
        <v>7</v>
      </c>
      <c r="B11" s="205" t="s">
        <v>20</v>
      </c>
      <c r="C11" s="206">
        <f>($A$200+$B$200)*'[39]نرخ تسهیم'!Q9</f>
        <v>151.48806120445025</v>
      </c>
      <c r="D11" s="207">
        <f t="shared" si="1"/>
        <v>159.06246426467277</v>
      </c>
      <c r="E11" s="207">
        <f t="shared" si="1"/>
        <v>167.01558747790642</v>
      </c>
      <c r="F11" s="207">
        <f t="shared" si="1"/>
        <v>175.36636685180176</v>
      </c>
      <c r="G11" s="207">
        <f t="shared" si="1"/>
        <v>184.13468519439186</v>
      </c>
      <c r="H11" s="207">
        <f t="shared" si="1"/>
        <v>193.34141945411147</v>
      </c>
      <c r="I11" s="207">
        <f t="shared" si="1"/>
        <v>203.00849042681705</v>
      </c>
      <c r="J11" s="207">
        <f t="shared" si="1"/>
        <v>213.1589149481579</v>
      </c>
      <c r="K11" s="207">
        <f t="shared" si="1"/>
        <v>223.81686069556579</v>
      </c>
      <c r="L11" s="207">
        <f t="shared" si="1"/>
        <v>235.0077037303441</v>
      </c>
      <c r="M11" s="207">
        <f t="shared" si="1"/>
        <v>246.75808891686131</v>
      </c>
      <c r="N11" s="207">
        <f t="shared" si="1"/>
        <v>259.09599336270441</v>
      </c>
      <c r="O11" s="83"/>
      <c r="P11" s="83"/>
      <c r="Q11" s="84"/>
      <c r="R11" s="84"/>
      <c r="S11" s="84"/>
      <c r="T11" s="86"/>
      <c r="U11" s="85"/>
    </row>
    <row r="12" spans="1:21" s="87" customFormat="1" ht="35.1" customHeight="1">
      <c r="A12" s="290">
        <v>8</v>
      </c>
      <c r="B12" s="205" t="s">
        <v>21</v>
      </c>
      <c r="C12" s="206">
        <f>($A$200+$B$200)*'[39]نرخ تسهیم'!Q10</f>
        <v>407.74073205323555</v>
      </c>
      <c r="D12" s="207">
        <f t="shared" si="1"/>
        <v>428.12776865589734</v>
      </c>
      <c r="E12" s="207">
        <f t="shared" si="1"/>
        <v>449.53415708869221</v>
      </c>
      <c r="F12" s="207">
        <f t="shared" si="1"/>
        <v>472.01086494312682</v>
      </c>
      <c r="G12" s="207">
        <f t="shared" si="1"/>
        <v>495.61140819028316</v>
      </c>
      <c r="H12" s="207">
        <f t="shared" si="1"/>
        <v>520.39197859979731</v>
      </c>
      <c r="I12" s="207">
        <f t="shared" si="1"/>
        <v>546.41157752978722</v>
      </c>
      <c r="J12" s="207">
        <f t="shared" si="1"/>
        <v>573.73215640627666</v>
      </c>
      <c r="K12" s="207">
        <f t="shared" si="1"/>
        <v>602.4187642265905</v>
      </c>
      <c r="L12" s="207">
        <f t="shared" si="1"/>
        <v>632.53970243792003</v>
      </c>
      <c r="M12" s="207">
        <f t="shared" si="1"/>
        <v>664.16668755981607</v>
      </c>
      <c r="N12" s="207">
        <f t="shared" si="1"/>
        <v>697.37502193780688</v>
      </c>
      <c r="O12" s="83"/>
      <c r="P12" s="83"/>
      <c r="Q12" s="84"/>
      <c r="R12" s="84"/>
      <c r="S12" s="84"/>
      <c r="T12" s="86"/>
      <c r="U12" s="85"/>
    </row>
    <row r="13" spans="1:21" s="87" customFormat="1" ht="35.1" customHeight="1">
      <c r="A13" s="290">
        <v>9</v>
      </c>
      <c r="B13" s="205" t="s">
        <v>22</v>
      </c>
      <c r="C13" s="206">
        <f>($A$200+$B$200)*'[39]نرخ تسهیم'!Q11</f>
        <v>22.172099481965638</v>
      </c>
      <c r="D13" s="207">
        <f t="shared" si="1"/>
        <v>23.280704456063923</v>
      </c>
      <c r="E13" s="207">
        <f t="shared" si="1"/>
        <v>24.444739678867119</v>
      </c>
      <c r="F13" s="207">
        <f t="shared" si="1"/>
        <v>25.666976662810477</v>
      </c>
      <c r="G13" s="207">
        <f t="shared" si="1"/>
        <v>26.950325495951002</v>
      </c>
      <c r="H13" s="207">
        <f t="shared" si="1"/>
        <v>28.297841770748555</v>
      </c>
      <c r="I13" s="207">
        <f t="shared" si="1"/>
        <v>29.712733859285983</v>
      </c>
      <c r="J13" s="207">
        <f t="shared" si="1"/>
        <v>31.198370552250282</v>
      </c>
      <c r="K13" s="207">
        <f t="shared" si="1"/>
        <v>32.758289079862799</v>
      </c>
      <c r="L13" s="207">
        <f t="shared" si="1"/>
        <v>34.396203533855939</v>
      </c>
      <c r="M13" s="207">
        <f t="shared" si="1"/>
        <v>36.116013710548735</v>
      </c>
      <c r="N13" s="207">
        <f t="shared" si="1"/>
        <v>37.921814396076172</v>
      </c>
      <c r="O13" s="83"/>
      <c r="P13" s="83"/>
      <c r="Q13" s="84"/>
      <c r="R13" s="84"/>
      <c r="S13" s="84"/>
      <c r="T13" s="86"/>
      <c r="U13" s="85"/>
    </row>
    <row r="14" spans="1:21" s="87" customFormat="1" ht="35.1" customHeight="1">
      <c r="A14" s="290">
        <v>10</v>
      </c>
      <c r="B14" s="205" t="s">
        <v>23</v>
      </c>
      <c r="C14" s="206">
        <f>($A$200+$B$200)*'[39]نرخ تسهیم'!Q12</f>
        <v>83.385219975731317</v>
      </c>
      <c r="D14" s="207">
        <f t="shared" si="1"/>
        <v>87.554480974517887</v>
      </c>
      <c r="E14" s="207">
        <f t="shared" si="1"/>
        <v>91.932205023243782</v>
      </c>
      <c r="F14" s="207">
        <f t="shared" si="1"/>
        <v>96.528815274405972</v>
      </c>
      <c r="G14" s="207">
        <f t="shared" si="1"/>
        <v>101.35525603812627</v>
      </c>
      <c r="H14" s="207">
        <f t="shared" si="1"/>
        <v>106.42301884003258</v>
      </c>
      <c r="I14" s="207">
        <f t="shared" si="1"/>
        <v>111.74416978203422</v>
      </c>
      <c r="J14" s="207">
        <f t="shared" si="1"/>
        <v>117.33137827113593</v>
      </c>
      <c r="K14" s="207">
        <f t="shared" si="1"/>
        <v>123.19794718469274</v>
      </c>
      <c r="L14" s="207">
        <f t="shared" si="1"/>
        <v>129.35784454392737</v>
      </c>
      <c r="M14" s="207">
        <f t="shared" si="1"/>
        <v>135.82573677112376</v>
      </c>
      <c r="N14" s="207">
        <f t="shared" si="1"/>
        <v>142.61702360967996</v>
      </c>
      <c r="O14" s="83"/>
      <c r="P14" s="83"/>
      <c r="Q14" s="84"/>
      <c r="R14" s="84"/>
      <c r="S14" s="84"/>
      <c r="T14" s="86"/>
      <c r="U14" s="85"/>
    </row>
    <row r="15" spans="1:21" s="87" customFormat="1" ht="35.1" customHeight="1">
      <c r="A15" s="290">
        <v>11</v>
      </c>
      <c r="B15" s="205" t="s">
        <v>24</v>
      </c>
      <c r="C15" s="206">
        <f>($A$200+$B$200)*'[39]نرخ تسهیم'!Q13</f>
        <v>122.69607161054176</v>
      </c>
      <c r="D15" s="207">
        <f t="shared" si="1"/>
        <v>128.83087519106886</v>
      </c>
      <c r="E15" s="207">
        <f t="shared" si="1"/>
        <v>135.2724189506223</v>
      </c>
      <c r="F15" s="207">
        <f t="shared" si="1"/>
        <v>142.0360398981534</v>
      </c>
      <c r="G15" s="207">
        <f t="shared" si="1"/>
        <v>149.13784189306108</v>
      </c>
      <c r="H15" s="207">
        <f t="shared" si="1"/>
        <v>156.59473398771414</v>
      </c>
      <c r="I15" s="207">
        <f t="shared" si="1"/>
        <v>164.42447068709984</v>
      </c>
      <c r="J15" s="207">
        <f t="shared" si="1"/>
        <v>172.64569422145485</v>
      </c>
      <c r="K15" s="207">
        <f t="shared" si="1"/>
        <v>181.27797893252759</v>
      </c>
      <c r="L15" s="207">
        <f t="shared" si="1"/>
        <v>190.34187787915397</v>
      </c>
      <c r="M15" s="207">
        <f t="shared" si="1"/>
        <v>199.85897177311168</v>
      </c>
      <c r="N15" s="207">
        <f t="shared" si="1"/>
        <v>209.85192036176727</v>
      </c>
      <c r="O15" s="83"/>
      <c r="P15" s="83"/>
      <c r="Q15" s="84"/>
      <c r="R15" s="84"/>
      <c r="S15" s="84"/>
      <c r="T15" s="86"/>
      <c r="U15" s="85"/>
    </row>
    <row r="16" spans="1:21" s="87" customFormat="1" ht="35.1" customHeight="1">
      <c r="A16" s="290">
        <v>12</v>
      </c>
      <c r="B16" s="205" t="s">
        <v>25</v>
      </c>
      <c r="C16" s="206">
        <f>($A$200+$B$200)*'[39]نرخ تسهیم'!Q14</f>
        <v>602.353554697503</v>
      </c>
      <c r="D16" s="207">
        <f t="shared" si="1"/>
        <v>632.4712324323782</v>
      </c>
      <c r="E16" s="207">
        <f t="shared" si="1"/>
        <v>664.09479405399713</v>
      </c>
      <c r="F16" s="207">
        <f t="shared" si="1"/>
        <v>697.29953375669697</v>
      </c>
      <c r="G16" s="207">
        <f t="shared" si="1"/>
        <v>732.16451044453186</v>
      </c>
      <c r="H16" s="207">
        <f t="shared" si="1"/>
        <v>768.77273596675843</v>
      </c>
      <c r="I16" s="207">
        <f t="shared" si="1"/>
        <v>807.21137276509637</v>
      </c>
      <c r="J16" s="207">
        <f t="shared" si="1"/>
        <v>847.57194140335127</v>
      </c>
      <c r="K16" s="207">
        <f t="shared" si="1"/>
        <v>889.95053847351892</v>
      </c>
      <c r="L16" s="207">
        <f t="shared" si="1"/>
        <v>934.44806539719491</v>
      </c>
      <c r="M16" s="207">
        <f t="shared" si="1"/>
        <v>981.17046866705471</v>
      </c>
      <c r="N16" s="207">
        <f t="shared" si="1"/>
        <v>1030.2289921004076</v>
      </c>
      <c r="O16" s="83"/>
      <c r="P16" s="83"/>
      <c r="Q16" s="84"/>
      <c r="R16" s="84"/>
      <c r="S16" s="84"/>
      <c r="T16" s="86"/>
      <c r="U16" s="85"/>
    </row>
    <row r="17" spans="1:21" s="87" customFormat="1" ht="35.1" customHeight="1">
      <c r="A17" s="290">
        <v>13</v>
      </c>
      <c r="B17" s="205" t="s">
        <v>26</v>
      </c>
      <c r="C17" s="206">
        <f>($A$200+$B$200)*'[39]نرخ تسهیم'!Q15</f>
        <v>56.778574980838279</v>
      </c>
      <c r="D17" s="207">
        <f t="shared" si="1"/>
        <v>59.617503729880198</v>
      </c>
      <c r="E17" s="207">
        <f t="shared" si="1"/>
        <v>62.598378916374209</v>
      </c>
      <c r="F17" s="207">
        <f t="shared" si="1"/>
        <v>65.728297862192917</v>
      </c>
      <c r="G17" s="207">
        <f t="shared" si="1"/>
        <v>69.014712755302568</v>
      </c>
      <c r="H17" s="207">
        <f t="shared" si="1"/>
        <v>72.465448393067703</v>
      </c>
      <c r="I17" s="207">
        <f t="shared" si="1"/>
        <v>76.088720812721093</v>
      </c>
      <c r="J17" s="207">
        <f t="shared" si="1"/>
        <v>79.893156853357155</v>
      </c>
      <c r="K17" s="207">
        <f t="shared" si="1"/>
        <v>83.887814696025018</v>
      </c>
      <c r="L17" s="207">
        <f t="shared" si="1"/>
        <v>88.082205430826278</v>
      </c>
      <c r="M17" s="207">
        <f t="shared" si="1"/>
        <v>92.486315702367591</v>
      </c>
      <c r="N17" s="207">
        <f t="shared" si="1"/>
        <v>97.110631487485975</v>
      </c>
      <c r="O17" s="83"/>
      <c r="P17" s="83"/>
      <c r="Q17" s="84"/>
      <c r="R17" s="84"/>
      <c r="S17" s="84"/>
      <c r="T17" s="86"/>
      <c r="U17" s="85"/>
    </row>
    <row r="18" spans="1:21" s="87" customFormat="1" ht="35.1" customHeight="1">
      <c r="A18" s="290">
        <v>14</v>
      </c>
      <c r="B18" s="205" t="s">
        <v>27</v>
      </c>
      <c r="C18" s="206">
        <f>($A$200+$B$200)*'[39]نرخ تسهیم'!Q16</f>
        <v>342.42729758085528</v>
      </c>
      <c r="D18" s="207">
        <f t="shared" si="1"/>
        <v>359.54866245989808</v>
      </c>
      <c r="E18" s="207">
        <f t="shared" si="1"/>
        <v>377.52609558289299</v>
      </c>
      <c r="F18" s="207">
        <f t="shared" si="1"/>
        <v>396.40240036203767</v>
      </c>
      <c r="G18" s="207">
        <f t="shared" si="1"/>
        <v>416.22252038013954</v>
      </c>
      <c r="H18" s="207">
        <f t="shared" si="1"/>
        <v>437.03364639914656</v>
      </c>
      <c r="I18" s="207">
        <f t="shared" si="1"/>
        <v>458.88532871910388</v>
      </c>
      <c r="J18" s="207">
        <f t="shared" si="1"/>
        <v>481.82959515505911</v>
      </c>
      <c r="K18" s="207">
        <f t="shared" si="1"/>
        <v>505.92107491281206</v>
      </c>
      <c r="L18" s="207">
        <f t="shared" si="1"/>
        <v>531.21712865845268</v>
      </c>
      <c r="M18" s="207">
        <f t="shared" si="1"/>
        <v>557.77798509137529</v>
      </c>
      <c r="N18" s="207">
        <f t="shared" si="1"/>
        <v>585.66688434594403</v>
      </c>
      <c r="O18" s="83"/>
      <c r="P18" s="83"/>
      <c r="Q18" s="84"/>
      <c r="R18" s="84"/>
      <c r="S18" s="84"/>
      <c r="T18" s="86"/>
      <c r="U18" s="85"/>
    </row>
    <row r="19" spans="1:21" s="87" customFormat="1" ht="35.1" customHeight="1">
      <c r="A19" s="290">
        <v>15</v>
      </c>
      <c r="B19" s="205" t="s">
        <v>28</v>
      </c>
      <c r="C19" s="206">
        <f>($A$200+$B$200)*'[39]نرخ تسهیم'!Q17</f>
        <v>115.05812480250106</v>
      </c>
      <c r="D19" s="207">
        <f t="shared" si="1"/>
        <v>120.81103104262611</v>
      </c>
      <c r="E19" s="207">
        <f t="shared" si="1"/>
        <v>126.85158259475742</v>
      </c>
      <c r="F19" s="207">
        <f t="shared" si="1"/>
        <v>133.1941617244953</v>
      </c>
      <c r="G19" s="207">
        <f t="shared" si="1"/>
        <v>139.85386981072008</v>
      </c>
      <c r="H19" s="207">
        <f t="shared" si="1"/>
        <v>146.84656330125608</v>
      </c>
      <c r="I19" s="207">
        <f t="shared" si="1"/>
        <v>154.18889146631889</v>
      </c>
      <c r="J19" s="207">
        <f t="shared" si="1"/>
        <v>161.89833603963484</v>
      </c>
      <c r="K19" s="207">
        <f t="shared" si="1"/>
        <v>169.9932528416166</v>
      </c>
      <c r="L19" s="207">
        <f t="shared" si="1"/>
        <v>178.49291548369743</v>
      </c>
      <c r="M19" s="207">
        <f t="shared" si="1"/>
        <v>187.41756125788231</v>
      </c>
      <c r="N19" s="207">
        <f t="shared" si="1"/>
        <v>196.78843932077643</v>
      </c>
      <c r="O19" s="83"/>
      <c r="P19" s="83"/>
      <c r="Q19" s="84"/>
      <c r="R19" s="84"/>
      <c r="S19" s="84"/>
      <c r="T19" s="86"/>
      <c r="U19" s="85"/>
    </row>
    <row r="20" spans="1:21" s="87" customFormat="1" ht="35.1" customHeight="1">
      <c r="A20" s="290">
        <v>16</v>
      </c>
      <c r="B20" s="205" t="s">
        <v>29</v>
      </c>
      <c r="C20" s="206">
        <f>($A$200+$B$200)*'[39]نرخ تسهیم'!Q18</f>
        <v>105.05662386336317</v>
      </c>
      <c r="D20" s="207">
        <f t="shared" si="1"/>
        <v>110.30945505653133</v>
      </c>
      <c r="E20" s="207">
        <f t="shared" si="1"/>
        <v>115.8249278093579</v>
      </c>
      <c r="F20" s="207">
        <f t="shared" si="1"/>
        <v>121.61617419982581</v>
      </c>
      <c r="G20" s="207">
        <f t="shared" si="1"/>
        <v>127.69698290981711</v>
      </c>
      <c r="H20" s="207">
        <f t="shared" si="1"/>
        <v>134.08183205530796</v>
      </c>
      <c r="I20" s="207">
        <f t="shared" si="1"/>
        <v>140.78592365807336</v>
      </c>
      <c r="J20" s="207">
        <f t="shared" si="1"/>
        <v>147.82521984097704</v>
      </c>
      <c r="K20" s="207">
        <f t="shared" si="1"/>
        <v>155.21648083302591</v>
      </c>
      <c r="L20" s="207">
        <f t="shared" si="1"/>
        <v>162.9773048746772</v>
      </c>
      <c r="M20" s="207">
        <f t="shared" si="1"/>
        <v>171.12617011841107</v>
      </c>
      <c r="N20" s="207">
        <f t="shared" si="1"/>
        <v>179.68247862433162</v>
      </c>
      <c r="O20" s="83"/>
      <c r="P20" s="83"/>
      <c r="Q20" s="84"/>
      <c r="R20" s="84"/>
      <c r="S20" s="84"/>
      <c r="T20" s="86"/>
      <c r="U20" s="85"/>
    </row>
    <row r="21" spans="1:21" s="87" customFormat="1" ht="35.1" customHeight="1">
      <c r="A21" s="290">
        <v>17</v>
      </c>
      <c r="B21" s="205" t="s">
        <v>30</v>
      </c>
      <c r="C21" s="206">
        <f>($A$200+$B$200)*'[39]نرخ تسهیم'!Q19</f>
        <v>213.01496650263061</v>
      </c>
      <c r="D21" s="207">
        <f t="shared" si="1"/>
        <v>223.66571482776214</v>
      </c>
      <c r="E21" s="207">
        <f t="shared" si="1"/>
        <v>234.84900056915026</v>
      </c>
      <c r="F21" s="207">
        <f t="shared" si="1"/>
        <v>246.59145059760777</v>
      </c>
      <c r="G21" s="207">
        <f t="shared" si="1"/>
        <v>258.92102312748818</v>
      </c>
      <c r="H21" s="207">
        <f t="shared" si="1"/>
        <v>271.86707428386262</v>
      </c>
      <c r="I21" s="207">
        <f t="shared" si="1"/>
        <v>285.46042799805576</v>
      </c>
      <c r="J21" s="207">
        <f t="shared" si="1"/>
        <v>299.73344939795857</v>
      </c>
      <c r="K21" s="207">
        <f t="shared" si="1"/>
        <v>314.72012186785651</v>
      </c>
      <c r="L21" s="207">
        <f t="shared" si="1"/>
        <v>330.45612796124936</v>
      </c>
      <c r="M21" s="207">
        <f t="shared" si="1"/>
        <v>346.97893435931184</v>
      </c>
      <c r="N21" s="207">
        <f t="shared" si="1"/>
        <v>364.32788107727742</v>
      </c>
      <c r="O21" s="83"/>
      <c r="P21" s="83"/>
      <c r="Q21" s="84"/>
      <c r="R21" s="84"/>
      <c r="S21" s="84"/>
      <c r="T21" s="86"/>
      <c r="U21" s="85"/>
    </row>
    <row r="22" spans="1:21" s="87" customFormat="1" ht="35.1" customHeight="1">
      <c r="A22" s="290">
        <v>18</v>
      </c>
      <c r="B22" s="205" t="s">
        <v>31</v>
      </c>
      <c r="C22" s="206">
        <f>($A$200+$B$200)*'[39]نرخ تسهیم'!Q20</f>
        <v>322.99139553487134</v>
      </c>
      <c r="D22" s="207">
        <f t="shared" ref="D22:N36" si="2">C22*1.05</f>
        <v>339.14096531161493</v>
      </c>
      <c r="E22" s="207">
        <f t="shared" si="2"/>
        <v>356.09801357719567</v>
      </c>
      <c r="F22" s="207">
        <f t="shared" si="2"/>
        <v>373.90291425605545</v>
      </c>
      <c r="G22" s="207">
        <f t="shared" si="2"/>
        <v>392.59805996885825</v>
      </c>
      <c r="H22" s="207">
        <f t="shared" si="2"/>
        <v>412.22796296730121</v>
      </c>
      <c r="I22" s="207">
        <f t="shared" si="2"/>
        <v>432.83936111566629</v>
      </c>
      <c r="J22" s="207">
        <f t="shared" si="2"/>
        <v>454.4813291714496</v>
      </c>
      <c r="K22" s="207">
        <f t="shared" si="2"/>
        <v>477.20539563002211</v>
      </c>
      <c r="L22" s="207">
        <f t="shared" si="2"/>
        <v>501.06566541152324</v>
      </c>
      <c r="M22" s="207">
        <f t="shared" si="2"/>
        <v>526.11894868209947</v>
      </c>
      <c r="N22" s="207">
        <f t="shared" si="2"/>
        <v>552.42489611620442</v>
      </c>
      <c r="O22" s="83"/>
      <c r="P22" s="83"/>
      <c r="Q22" s="84"/>
      <c r="R22" s="84"/>
      <c r="S22" s="84"/>
      <c r="T22" s="86"/>
      <c r="U22" s="85"/>
    </row>
    <row r="23" spans="1:21" s="87" customFormat="1" ht="35.1" customHeight="1">
      <c r="A23" s="290">
        <v>19</v>
      </c>
      <c r="B23" s="205" t="s">
        <v>32</v>
      </c>
      <c r="C23" s="206">
        <f>($A$200+$B$200)*'[39]نرخ تسهیم'!Q21</f>
        <v>151.6069279536467</v>
      </c>
      <c r="D23" s="207">
        <f t="shared" si="2"/>
        <v>159.18727435132905</v>
      </c>
      <c r="E23" s="207">
        <f t="shared" si="2"/>
        <v>167.1466380688955</v>
      </c>
      <c r="F23" s="207">
        <f t="shared" si="2"/>
        <v>175.50396997234029</v>
      </c>
      <c r="G23" s="207">
        <f t="shared" si="2"/>
        <v>184.2791684709573</v>
      </c>
      <c r="H23" s="207">
        <f t="shared" si="2"/>
        <v>193.49312689450517</v>
      </c>
      <c r="I23" s="207">
        <f t="shared" si="2"/>
        <v>203.16778323923043</v>
      </c>
      <c r="J23" s="207">
        <f t="shared" si="2"/>
        <v>213.32617240119197</v>
      </c>
      <c r="K23" s="207">
        <f t="shared" si="2"/>
        <v>223.99248102125156</v>
      </c>
      <c r="L23" s="207">
        <f t="shared" si="2"/>
        <v>235.19210507231415</v>
      </c>
      <c r="M23" s="207">
        <f t="shared" si="2"/>
        <v>246.95171032592987</v>
      </c>
      <c r="N23" s="207">
        <f t="shared" si="2"/>
        <v>259.29929584222634</v>
      </c>
      <c r="O23" s="83"/>
      <c r="P23" s="83"/>
      <c r="Q23" s="84"/>
      <c r="R23" s="84"/>
      <c r="S23" s="84"/>
      <c r="T23" s="86"/>
      <c r="U23" s="85"/>
    </row>
    <row r="24" spans="1:21" s="87" customFormat="1" ht="35.1" customHeight="1">
      <c r="A24" s="290">
        <v>20</v>
      </c>
      <c r="B24" s="205" t="s">
        <v>33</v>
      </c>
      <c r="C24" s="206">
        <f>($A$200+$B$200)*'[39]نرخ تسهیم'!Q22</f>
        <v>145.97721037210698</v>
      </c>
      <c r="D24" s="207">
        <f t="shared" si="2"/>
        <v>153.27607089071233</v>
      </c>
      <c r="E24" s="207">
        <f t="shared" si="2"/>
        <v>160.93987443524796</v>
      </c>
      <c r="F24" s="207">
        <f t="shared" si="2"/>
        <v>168.98686815701038</v>
      </c>
      <c r="G24" s="207">
        <f t="shared" si="2"/>
        <v>177.43621156486091</v>
      </c>
      <c r="H24" s="207">
        <f t="shared" si="2"/>
        <v>186.30802214310395</v>
      </c>
      <c r="I24" s="207">
        <f t="shared" si="2"/>
        <v>195.62342325025915</v>
      </c>
      <c r="J24" s="207">
        <f t="shared" si="2"/>
        <v>205.40459441277213</v>
      </c>
      <c r="K24" s="207">
        <f t="shared" si="2"/>
        <v>215.67482413341074</v>
      </c>
      <c r="L24" s="207">
        <f t="shared" si="2"/>
        <v>226.45856534008129</v>
      </c>
      <c r="M24" s="207">
        <f t="shared" si="2"/>
        <v>237.78149360708537</v>
      </c>
      <c r="N24" s="207">
        <f t="shared" si="2"/>
        <v>249.67056828743964</v>
      </c>
      <c r="O24" s="83"/>
      <c r="P24" s="83"/>
      <c r="Q24" s="84"/>
      <c r="R24" s="84"/>
      <c r="S24" s="84"/>
      <c r="T24" s="86"/>
      <c r="U24" s="85"/>
    </row>
    <row r="25" spans="1:21" s="87" customFormat="1" ht="35.1" customHeight="1">
      <c r="A25" s="290">
        <v>21</v>
      </c>
      <c r="B25" s="205" t="s">
        <v>34</v>
      </c>
      <c r="C25" s="206">
        <f>($A$200+$B$200)*'[39]نرخ تسهیم'!Q23</f>
        <v>126.42424468406755</v>
      </c>
      <c r="D25" s="207">
        <f t="shared" si="2"/>
        <v>132.74545691827092</v>
      </c>
      <c r="E25" s="207">
        <f t="shared" si="2"/>
        <v>139.38272976418446</v>
      </c>
      <c r="F25" s="207">
        <f t="shared" si="2"/>
        <v>146.35186625239368</v>
      </c>
      <c r="G25" s="207">
        <f t="shared" si="2"/>
        <v>153.66945956501337</v>
      </c>
      <c r="H25" s="207">
        <f t="shared" si="2"/>
        <v>161.35293254326405</v>
      </c>
      <c r="I25" s="207">
        <f t="shared" si="2"/>
        <v>169.42057917042726</v>
      </c>
      <c r="J25" s="207">
        <f t="shared" si="2"/>
        <v>177.89160812894863</v>
      </c>
      <c r="K25" s="207">
        <f t="shared" si="2"/>
        <v>186.78618853539606</v>
      </c>
      <c r="L25" s="207">
        <f t="shared" si="2"/>
        <v>196.12549796216587</v>
      </c>
      <c r="M25" s="207">
        <f t="shared" si="2"/>
        <v>205.93177286027418</v>
      </c>
      <c r="N25" s="207">
        <f t="shared" si="2"/>
        <v>216.22836150328789</v>
      </c>
      <c r="O25" s="83"/>
      <c r="P25" s="83"/>
      <c r="Q25" s="84"/>
      <c r="R25" s="84"/>
      <c r="S25" s="84"/>
      <c r="T25" s="86"/>
      <c r="U25" s="85"/>
    </row>
    <row r="26" spans="1:21" s="87" customFormat="1" ht="35.1" customHeight="1">
      <c r="A26" s="290">
        <v>22</v>
      </c>
      <c r="B26" s="205" t="s">
        <v>35</v>
      </c>
      <c r="C26" s="206">
        <f>($A$200+$B$200)*'[39]نرخ تسهیم'!Q24</f>
        <v>134.07560775494034</v>
      </c>
      <c r="D26" s="207">
        <f t="shared" si="2"/>
        <v>140.77938814268737</v>
      </c>
      <c r="E26" s="207">
        <f t="shared" si="2"/>
        <v>147.81835754982174</v>
      </c>
      <c r="F26" s="207">
        <f t="shared" si="2"/>
        <v>155.20927542731283</v>
      </c>
      <c r="G26" s="207">
        <f t="shared" si="2"/>
        <v>162.96973919867847</v>
      </c>
      <c r="H26" s="207">
        <f t="shared" si="2"/>
        <v>171.1182261586124</v>
      </c>
      <c r="I26" s="207">
        <f t="shared" si="2"/>
        <v>179.67413746654302</v>
      </c>
      <c r="J26" s="207">
        <f t="shared" si="2"/>
        <v>188.65784433987017</v>
      </c>
      <c r="K26" s="207">
        <f t="shared" si="2"/>
        <v>198.09073655686367</v>
      </c>
      <c r="L26" s="207">
        <f t="shared" si="2"/>
        <v>207.99527338470688</v>
      </c>
      <c r="M26" s="207">
        <f t="shared" si="2"/>
        <v>218.39503705394222</v>
      </c>
      <c r="N26" s="207">
        <f t="shared" si="2"/>
        <v>229.31478890663934</v>
      </c>
      <c r="O26" s="83"/>
      <c r="P26" s="83"/>
      <c r="Q26" s="84"/>
      <c r="R26" s="84"/>
      <c r="S26" s="84"/>
      <c r="T26" s="86"/>
      <c r="U26" s="85"/>
    </row>
    <row r="27" spans="1:21" s="87" customFormat="1" ht="35.1" customHeight="1">
      <c r="A27" s="290">
        <v>23</v>
      </c>
      <c r="B27" s="205" t="s">
        <v>36</v>
      </c>
      <c r="C27" s="206">
        <f>($A$200+$B$200)*'[39]نرخ تسهیم'!Q25</f>
        <v>226.13819500458484</v>
      </c>
      <c r="D27" s="207">
        <f t="shared" si="2"/>
        <v>237.44510475481411</v>
      </c>
      <c r="E27" s="207">
        <f t="shared" si="2"/>
        <v>249.31735999255483</v>
      </c>
      <c r="F27" s="207">
        <f t="shared" si="2"/>
        <v>261.78322799218256</v>
      </c>
      <c r="G27" s="207">
        <f t="shared" si="2"/>
        <v>274.87238939179173</v>
      </c>
      <c r="H27" s="207">
        <f t="shared" si="2"/>
        <v>288.61600886138132</v>
      </c>
      <c r="I27" s="207">
        <f t="shared" si="2"/>
        <v>303.04680930445039</v>
      </c>
      <c r="J27" s="207">
        <f t="shared" si="2"/>
        <v>318.19914976967294</v>
      </c>
      <c r="K27" s="207">
        <f t="shared" si="2"/>
        <v>334.1091072581566</v>
      </c>
      <c r="L27" s="207">
        <f t="shared" si="2"/>
        <v>350.81456262106445</v>
      </c>
      <c r="M27" s="207">
        <f t="shared" si="2"/>
        <v>368.3552907521177</v>
      </c>
      <c r="N27" s="207">
        <f t="shared" si="2"/>
        <v>386.77305528972357</v>
      </c>
      <c r="O27" s="83"/>
      <c r="P27" s="83"/>
      <c r="Q27" s="84"/>
      <c r="R27" s="84"/>
      <c r="S27" s="84"/>
      <c r="T27" s="86"/>
      <c r="U27" s="85"/>
    </row>
    <row r="28" spans="1:21" s="87" customFormat="1" ht="35.1" customHeight="1">
      <c r="A28" s="290">
        <v>24</v>
      </c>
      <c r="B28" s="205" t="s">
        <v>37</v>
      </c>
      <c r="C28" s="206">
        <f>($A$200+$B$200)*'[39]نرخ تسهیم'!Q26</f>
        <v>65.368482639859806</v>
      </c>
      <c r="D28" s="207">
        <f t="shared" si="2"/>
        <v>68.636906771852793</v>
      </c>
      <c r="E28" s="207">
        <f t="shared" si="2"/>
        <v>72.068752110445431</v>
      </c>
      <c r="F28" s="207">
        <f t="shared" si="2"/>
        <v>75.672189715967704</v>
      </c>
      <c r="G28" s="207">
        <f t="shared" si="2"/>
        <v>79.455799201766098</v>
      </c>
      <c r="H28" s="207">
        <f t="shared" si="2"/>
        <v>83.428589161854404</v>
      </c>
      <c r="I28" s="207">
        <f t="shared" si="2"/>
        <v>87.600018619947122</v>
      </c>
      <c r="J28" s="207">
        <f t="shared" si="2"/>
        <v>91.980019550944476</v>
      </c>
      <c r="K28" s="207">
        <f t="shared" si="2"/>
        <v>96.579020528491711</v>
      </c>
      <c r="L28" s="207">
        <f t="shared" si="2"/>
        <v>101.4079715549163</v>
      </c>
      <c r="M28" s="207">
        <f t="shared" si="2"/>
        <v>106.47837013266212</v>
      </c>
      <c r="N28" s="207">
        <f t="shared" si="2"/>
        <v>111.80228863929523</v>
      </c>
      <c r="O28" s="83"/>
      <c r="P28" s="83"/>
      <c r="Q28" s="84"/>
      <c r="R28" s="84"/>
      <c r="S28" s="84"/>
      <c r="T28" s="86"/>
      <c r="U28" s="85"/>
    </row>
    <row r="29" spans="1:21" s="87" customFormat="1" ht="35.1" customHeight="1">
      <c r="A29" s="290">
        <v>25</v>
      </c>
      <c r="B29" s="205" t="s">
        <v>38</v>
      </c>
      <c r="C29" s="206">
        <f>($A$200+$B$200)*'[39]نرخ تسهیم'!Q27</f>
        <v>227.90063363610238</v>
      </c>
      <c r="D29" s="207">
        <f t="shared" si="2"/>
        <v>239.29566531790752</v>
      </c>
      <c r="E29" s="207">
        <f t="shared" si="2"/>
        <v>251.26044858380291</v>
      </c>
      <c r="F29" s="207">
        <f t="shared" si="2"/>
        <v>263.82347101299308</v>
      </c>
      <c r="G29" s="207">
        <f t="shared" si="2"/>
        <v>277.01464456364278</v>
      </c>
      <c r="H29" s="207">
        <f t="shared" si="2"/>
        <v>290.86537679182493</v>
      </c>
      <c r="I29" s="207">
        <f t="shared" si="2"/>
        <v>305.40864563141616</v>
      </c>
      <c r="J29" s="207">
        <f t="shared" si="2"/>
        <v>320.679077912987</v>
      </c>
      <c r="K29" s="207">
        <f t="shared" si="2"/>
        <v>336.71303180863634</v>
      </c>
      <c r="L29" s="207">
        <f t="shared" si="2"/>
        <v>353.54868339906818</v>
      </c>
      <c r="M29" s="207">
        <f t="shared" si="2"/>
        <v>371.2261175690216</v>
      </c>
      <c r="N29" s="207">
        <f t="shared" si="2"/>
        <v>389.78742344747269</v>
      </c>
      <c r="O29" s="83"/>
      <c r="P29" s="83"/>
      <c r="Q29" s="84"/>
      <c r="R29" s="84"/>
      <c r="S29" s="84"/>
      <c r="T29" s="86"/>
      <c r="U29" s="85"/>
    </row>
    <row r="30" spans="1:21" s="87" customFormat="1" ht="35.1" customHeight="1">
      <c r="A30" s="290">
        <v>26</v>
      </c>
      <c r="B30" s="205" t="s">
        <v>39</v>
      </c>
      <c r="C30" s="206">
        <f>($A$200+$B$200)*'[39]نرخ تسهیم'!Q28</f>
        <v>286.08874833607132</v>
      </c>
      <c r="D30" s="207">
        <f t="shared" si="2"/>
        <v>300.3931857528749</v>
      </c>
      <c r="E30" s="207">
        <f t="shared" si="2"/>
        <v>315.41284504051868</v>
      </c>
      <c r="F30" s="207">
        <f t="shared" si="2"/>
        <v>331.18348729254461</v>
      </c>
      <c r="G30" s="207">
        <f t="shared" si="2"/>
        <v>347.74266165717188</v>
      </c>
      <c r="H30" s="207">
        <f t="shared" si="2"/>
        <v>365.12979474003049</v>
      </c>
      <c r="I30" s="207">
        <f t="shared" si="2"/>
        <v>383.38628447703201</v>
      </c>
      <c r="J30" s="207">
        <f t="shared" si="2"/>
        <v>402.55559870088365</v>
      </c>
      <c r="K30" s="207">
        <f t="shared" si="2"/>
        <v>422.68337863592785</v>
      </c>
      <c r="L30" s="207">
        <f t="shared" si="2"/>
        <v>443.81754756772426</v>
      </c>
      <c r="M30" s="207">
        <f t="shared" si="2"/>
        <v>466.00842494611049</v>
      </c>
      <c r="N30" s="207">
        <f t="shared" si="2"/>
        <v>489.30884619341606</v>
      </c>
      <c r="O30" s="83"/>
      <c r="P30" s="83"/>
      <c r="Q30" s="84"/>
      <c r="R30" s="84"/>
      <c r="S30" s="84"/>
      <c r="T30" s="86"/>
      <c r="U30" s="85"/>
    </row>
    <row r="31" spans="1:21" s="87" customFormat="1" ht="35.1" customHeight="1">
      <c r="A31" s="290">
        <v>27</v>
      </c>
      <c r="B31" s="205" t="s">
        <v>40</v>
      </c>
      <c r="C31" s="206">
        <f>($A$200+$B$200)*'[39]نرخ تسهیم'!Q29</f>
        <v>218.37221219116552</v>
      </c>
      <c r="D31" s="207">
        <f t="shared" si="2"/>
        <v>229.29082280072379</v>
      </c>
      <c r="E31" s="207">
        <f t="shared" si="2"/>
        <v>240.75536394075999</v>
      </c>
      <c r="F31" s="207">
        <f t="shared" si="2"/>
        <v>252.79313213779801</v>
      </c>
      <c r="G31" s="207">
        <f t="shared" si="2"/>
        <v>265.43278874468791</v>
      </c>
      <c r="H31" s="207">
        <f t="shared" si="2"/>
        <v>278.70442818192231</v>
      </c>
      <c r="I31" s="207">
        <f t="shared" si="2"/>
        <v>292.63964959101844</v>
      </c>
      <c r="J31" s="207">
        <f t="shared" si="2"/>
        <v>307.27163207056935</v>
      </c>
      <c r="K31" s="207">
        <f t="shared" si="2"/>
        <v>322.63521367409783</v>
      </c>
      <c r="L31" s="207">
        <f t="shared" si="2"/>
        <v>338.76697435780272</v>
      </c>
      <c r="M31" s="207">
        <f t="shared" si="2"/>
        <v>355.70532307569289</v>
      </c>
      <c r="N31" s="207">
        <f t="shared" si="2"/>
        <v>373.49058922947756</v>
      </c>
      <c r="O31" s="83"/>
      <c r="P31" s="83"/>
      <c r="Q31" s="84"/>
      <c r="R31" s="84"/>
      <c r="S31" s="84"/>
      <c r="T31" s="86"/>
      <c r="U31" s="85"/>
    </row>
    <row r="32" spans="1:21" s="87" customFormat="1" ht="35.1" customHeight="1">
      <c r="A32" s="290">
        <v>28</v>
      </c>
      <c r="B32" s="205" t="s">
        <v>41</v>
      </c>
      <c r="C32" s="206">
        <f>($A$200+$B$200)*'[39]نرخ تسهیم'!Q30</f>
        <v>729.5777079019681</v>
      </c>
      <c r="D32" s="207">
        <f t="shared" si="2"/>
        <v>766.05659329706657</v>
      </c>
      <c r="E32" s="207">
        <f t="shared" si="2"/>
        <v>804.3594229619199</v>
      </c>
      <c r="F32" s="207">
        <f t="shared" si="2"/>
        <v>844.57739411001592</v>
      </c>
      <c r="G32" s="207">
        <f t="shared" si="2"/>
        <v>886.80626381551679</v>
      </c>
      <c r="H32" s="207">
        <f t="shared" si="2"/>
        <v>931.14657700629266</v>
      </c>
      <c r="I32" s="207">
        <f t="shared" si="2"/>
        <v>977.70390585660732</v>
      </c>
      <c r="J32" s="207">
        <f t="shared" si="2"/>
        <v>1026.5891011494377</v>
      </c>
      <c r="K32" s="207">
        <f t="shared" si="2"/>
        <v>1077.9185562069097</v>
      </c>
      <c r="L32" s="207">
        <f t="shared" si="2"/>
        <v>1131.8144840172552</v>
      </c>
      <c r="M32" s="207">
        <f t="shared" si="2"/>
        <v>1188.4052082181179</v>
      </c>
      <c r="N32" s="207">
        <f t="shared" si="2"/>
        <v>1247.8254686290238</v>
      </c>
      <c r="O32" s="83"/>
      <c r="P32" s="83"/>
      <c r="Q32" s="84"/>
      <c r="R32" s="84"/>
      <c r="S32" s="84"/>
      <c r="T32" s="86"/>
      <c r="U32" s="85"/>
    </row>
    <row r="33" spans="1:21" s="87" customFormat="1" ht="35.1" customHeight="1">
      <c r="A33" s="290">
        <v>29</v>
      </c>
      <c r="B33" s="205" t="s">
        <v>42</v>
      </c>
      <c r="C33" s="206">
        <f>($A$200+$B$200)*'[39]نرخ تسهیم'!Q31</f>
        <v>158.93611397461325</v>
      </c>
      <c r="D33" s="207">
        <f t="shared" si="2"/>
        <v>166.88291967334391</v>
      </c>
      <c r="E33" s="207">
        <f t="shared" si="2"/>
        <v>175.22706565701111</v>
      </c>
      <c r="F33" s="207">
        <f t="shared" si="2"/>
        <v>183.98841893986167</v>
      </c>
      <c r="G33" s="207">
        <f t="shared" si="2"/>
        <v>193.18783988685476</v>
      </c>
      <c r="H33" s="207">
        <f t="shared" si="2"/>
        <v>202.8472318811975</v>
      </c>
      <c r="I33" s="207">
        <f t="shared" si="2"/>
        <v>212.98959347525738</v>
      </c>
      <c r="J33" s="207">
        <f t="shared" si="2"/>
        <v>223.63907314902025</v>
      </c>
      <c r="K33" s="207">
        <f t="shared" si="2"/>
        <v>234.82102680647128</v>
      </c>
      <c r="L33" s="207">
        <f t="shared" si="2"/>
        <v>246.56207814679485</v>
      </c>
      <c r="M33" s="207">
        <f t="shared" si="2"/>
        <v>258.89018205413458</v>
      </c>
      <c r="N33" s="207">
        <f t="shared" si="2"/>
        <v>271.8346911568413</v>
      </c>
      <c r="O33" s="83"/>
      <c r="P33" s="83"/>
      <c r="Q33" s="84"/>
      <c r="R33" s="84"/>
      <c r="S33" s="84"/>
      <c r="T33" s="86"/>
      <c r="U33" s="85"/>
    </row>
    <row r="34" spans="1:21" s="87" customFormat="1" ht="35.1" customHeight="1">
      <c r="A34" s="290">
        <v>30</v>
      </c>
      <c r="B34" s="205" t="s">
        <v>43</v>
      </c>
      <c r="C34" s="206">
        <f>($A$200+$B$200)*'[39]نرخ تسهیم'!Q32</f>
        <v>136.1010318689051</v>
      </c>
      <c r="D34" s="207">
        <f t="shared" si="2"/>
        <v>142.90608346235035</v>
      </c>
      <c r="E34" s="207">
        <f t="shared" si="2"/>
        <v>150.05138763546788</v>
      </c>
      <c r="F34" s="207">
        <f t="shared" si="2"/>
        <v>157.55395701724129</v>
      </c>
      <c r="G34" s="207">
        <f t="shared" si="2"/>
        <v>165.43165486810335</v>
      </c>
      <c r="H34" s="207">
        <f t="shared" si="2"/>
        <v>173.70323761150851</v>
      </c>
      <c r="I34" s="207">
        <f t="shared" si="2"/>
        <v>182.38839949208395</v>
      </c>
      <c r="J34" s="207">
        <f t="shared" si="2"/>
        <v>191.50781946668815</v>
      </c>
      <c r="K34" s="207">
        <f t="shared" si="2"/>
        <v>201.08321044002255</v>
      </c>
      <c r="L34" s="207">
        <f t="shared" si="2"/>
        <v>211.13737096202368</v>
      </c>
      <c r="M34" s="207">
        <f t="shared" si="2"/>
        <v>221.69423951012487</v>
      </c>
      <c r="N34" s="207">
        <f t="shared" si="2"/>
        <v>232.77895148563113</v>
      </c>
      <c r="O34" s="83"/>
      <c r="P34" s="83"/>
      <c r="Q34" s="84"/>
      <c r="R34" s="84"/>
      <c r="S34" s="84"/>
      <c r="T34" s="86"/>
      <c r="U34" s="85"/>
    </row>
    <row r="35" spans="1:21" s="87" customFormat="1" ht="35.1" customHeight="1">
      <c r="A35" s="290">
        <v>31</v>
      </c>
      <c r="B35" s="205" t="s">
        <v>44</v>
      </c>
      <c r="C35" s="206">
        <f>($A$200+$B$200)*'[39]نرخ تسهیم'!Q33</f>
        <v>96.309189949165074</v>
      </c>
      <c r="D35" s="207">
        <f t="shared" si="2"/>
        <v>101.12464944662334</v>
      </c>
      <c r="E35" s="207">
        <f t="shared" si="2"/>
        <v>106.18088191895451</v>
      </c>
      <c r="F35" s="207">
        <f t="shared" si="2"/>
        <v>111.48992601490224</v>
      </c>
      <c r="G35" s="207">
        <f t="shared" si="2"/>
        <v>117.06442231564735</v>
      </c>
      <c r="H35" s="207">
        <f t="shared" si="2"/>
        <v>122.91764343142972</v>
      </c>
      <c r="I35" s="207">
        <f t="shared" si="2"/>
        <v>129.06352560300121</v>
      </c>
      <c r="J35" s="207">
        <f t="shared" si="2"/>
        <v>135.51670188315128</v>
      </c>
      <c r="K35" s="207">
        <f t="shared" si="2"/>
        <v>142.29253697730886</v>
      </c>
      <c r="L35" s="207">
        <f t="shared" si="2"/>
        <v>149.4071638261743</v>
      </c>
      <c r="M35" s="207">
        <f t="shared" si="2"/>
        <v>156.87752201748302</v>
      </c>
      <c r="N35" s="207">
        <f t="shared" si="2"/>
        <v>164.72139811835717</v>
      </c>
      <c r="O35" s="83"/>
      <c r="P35" s="83"/>
      <c r="Q35" s="84"/>
      <c r="R35" s="84"/>
      <c r="S35" s="84"/>
      <c r="T35" s="86"/>
      <c r="U35" s="85"/>
    </row>
    <row r="36" spans="1:21" s="87" customFormat="1" ht="35.1" customHeight="1">
      <c r="A36" s="290">
        <v>32</v>
      </c>
      <c r="B36" s="205" t="s">
        <v>45</v>
      </c>
      <c r="C36" s="206">
        <f>($A$200+$B$200)*'[39]نرخ تسهیم'!Q34</f>
        <v>163.18742059570417</v>
      </c>
      <c r="D36" s="207">
        <f t="shared" si="2"/>
        <v>171.34679162548937</v>
      </c>
      <c r="E36" s="207">
        <f t="shared" si="2"/>
        <v>179.91413120676384</v>
      </c>
      <c r="F36" s="207">
        <f t="shared" si="2"/>
        <v>188.90983776710203</v>
      </c>
      <c r="G36" s="207">
        <f t="shared" si="2"/>
        <v>198.35532965545715</v>
      </c>
      <c r="H36" s="207">
        <f t="shared" si="2"/>
        <v>208.27309613823002</v>
      </c>
      <c r="I36" s="207">
        <f t="shared" si="2"/>
        <v>218.68675094514154</v>
      </c>
      <c r="J36" s="207">
        <f t="shared" si="2"/>
        <v>229.62108849239863</v>
      </c>
      <c r="K36" s="207">
        <f t="shared" si="2"/>
        <v>241.10214291701857</v>
      </c>
      <c r="L36" s="207">
        <f t="shared" si="2"/>
        <v>253.15725006286951</v>
      </c>
      <c r="M36" s="207">
        <f t="shared" si="2"/>
        <v>265.815112566013</v>
      </c>
      <c r="N36" s="207">
        <f t="shared" si="2"/>
        <v>279.10586819431364</v>
      </c>
      <c r="O36" s="83"/>
      <c r="P36" s="83"/>
      <c r="Q36" s="84"/>
      <c r="R36" s="84"/>
      <c r="S36" s="84"/>
      <c r="T36" s="86"/>
      <c r="U36" s="85"/>
    </row>
    <row r="37" spans="1:21" s="90" customFormat="1" ht="35.1" customHeight="1">
      <c r="A37" s="464" t="s">
        <v>107</v>
      </c>
      <c r="B37" s="464"/>
      <c r="C37" s="206">
        <f t="shared" ref="C37:N37" si="3">SUM(C5:C36)</f>
        <v>6798.1133493975904</v>
      </c>
      <c r="D37" s="206">
        <f t="shared" si="3"/>
        <v>7138.0190168674726</v>
      </c>
      <c r="E37" s="206">
        <f t="shared" si="3"/>
        <v>7494.9199677108463</v>
      </c>
      <c r="F37" s="206">
        <f t="shared" si="3"/>
        <v>7869.6659660963878</v>
      </c>
      <c r="G37" s="206">
        <f t="shared" si="3"/>
        <v>8263.1492644012087</v>
      </c>
      <c r="H37" s="206">
        <f t="shared" si="3"/>
        <v>8676.3067276212696</v>
      </c>
      <c r="I37" s="206">
        <f t="shared" si="3"/>
        <v>9110.122064002333</v>
      </c>
      <c r="J37" s="206">
        <f t="shared" si="3"/>
        <v>9565.6281672024506</v>
      </c>
      <c r="K37" s="206">
        <f t="shared" si="3"/>
        <v>10043.909575562573</v>
      </c>
      <c r="L37" s="206">
        <f t="shared" si="3"/>
        <v>10546.1050543407</v>
      </c>
      <c r="M37" s="206">
        <f t="shared" si="3"/>
        <v>11073.41030705774</v>
      </c>
      <c r="N37" s="206">
        <f t="shared" si="3"/>
        <v>11627.080822410624</v>
      </c>
      <c r="O37" s="83"/>
      <c r="P37" s="83"/>
      <c r="Q37" s="84"/>
      <c r="R37" s="84"/>
      <c r="S37" s="84"/>
      <c r="T37" s="88"/>
      <c r="U37" s="89"/>
    </row>
    <row r="199" spans="1:20" s="91" customFormat="1" ht="35.1" customHeight="1">
      <c r="D199" s="92"/>
      <c r="E199" s="92"/>
      <c r="F199" s="92"/>
      <c r="G199" s="92"/>
      <c r="H199" s="92"/>
      <c r="I199" s="92"/>
      <c r="J199" s="92"/>
      <c r="K199" s="92"/>
      <c r="L199" s="92"/>
      <c r="M199" s="92"/>
      <c r="N199" s="93"/>
      <c r="O199" s="94"/>
      <c r="P199" s="94"/>
      <c r="Q199" s="94"/>
      <c r="R199" s="94"/>
      <c r="T199" s="95"/>
    </row>
    <row r="200" spans="1:20" s="47" customFormat="1" ht="35.1" hidden="1" customHeight="1">
      <c r="A200" s="47">
        <f>'[39]عملیات-فعالیت ها '!$L$19</f>
        <v>6798.1133493975904</v>
      </c>
      <c r="B200" s="47">
        <f>'[39]عملیات-فعالیت ها '!$M$19</f>
        <v>0</v>
      </c>
      <c r="D200" s="48"/>
      <c r="E200" s="48"/>
      <c r="F200" s="48"/>
      <c r="G200" s="48"/>
      <c r="H200" s="48"/>
      <c r="I200" s="48"/>
      <c r="J200" s="48"/>
      <c r="K200" s="48"/>
      <c r="L200" s="48"/>
      <c r="M200" s="48"/>
      <c r="N200" s="49"/>
      <c r="O200" s="50"/>
      <c r="P200" s="50"/>
      <c r="Q200" s="50"/>
      <c r="R200" s="50"/>
      <c r="T200" s="51"/>
    </row>
    <row r="201" spans="1:20" s="91" customFormat="1" ht="35.1" customHeight="1">
      <c r="D201" s="92"/>
      <c r="E201" s="92"/>
      <c r="F201" s="92"/>
      <c r="G201" s="92"/>
      <c r="H201" s="92"/>
      <c r="I201" s="92"/>
      <c r="J201" s="92"/>
      <c r="K201" s="92"/>
      <c r="L201" s="92"/>
      <c r="M201" s="92"/>
      <c r="N201" s="93"/>
      <c r="O201" s="94"/>
      <c r="P201" s="94"/>
      <c r="Q201" s="94"/>
      <c r="R201" s="94"/>
      <c r="T201" s="95"/>
    </row>
  </sheetData>
  <mergeCells count="17">
    <mergeCell ref="A37:B37"/>
    <mergeCell ref="I3:I4"/>
    <mergeCell ref="J3:J4"/>
    <mergeCell ref="K3:K4"/>
    <mergeCell ref="L3:L4"/>
    <mergeCell ref="M3:M4"/>
    <mergeCell ref="N3:N4"/>
    <mergeCell ref="A1:N1"/>
    <mergeCell ref="A2:A4"/>
    <mergeCell ref="B2:B4"/>
    <mergeCell ref="C2:C4"/>
    <mergeCell ref="D2:D4"/>
    <mergeCell ref="E2:I2"/>
    <mergeCell ref="J2:N2"/>
    <mergeCell ref="E3:F3"/>
    <mergeCell ref="G3:G4"/>
    <mergeCell ref="H3:H4"/>
  </mergeCells>
  <pageMargins left="0.7" right="0.7" top="0.75" bottom="0.75" header="0.3" footer="0.3"/>
  <pageSetup paperSize="9" orientation="portrait" r:id="rId1"/>
  <drawing r:id="rId2"/>
</worksheet>
</file>

<file path=xl/worksheets/sheet7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284"/>
  <sheetViews>
    <sheetView showGridLines="0" rightToLeft="1" workbookViewId="0">
      <pane xSplit="26" topLeftCell="AA1" activePane="topRight" state="frozen"/>
      <selection pane="topRight" activeCell="L21" sqref="L21"/>
    </sheetView>
  </sheetViews>
  <sheetFormatPr defaultColWidth="28.6640625" defaultRowHeight="5.65" customHeight="1"/>
  <cols>
    <col min="1" max="1" width="9.33203125" style="3" customWidth="1"/>
    <col min="2" max="2" width="53" style="3" customWidth="1"/>
    <col min="3" max="3" width="9" style="125" customWidth="1"/>
    <col min="4" max="9" width="6.6640625" style="126" customWidth="1"/>
    <col min="10" max="12" width="12.5" style="3" customWidth="1"/>
    <col min="13" max="13" width="12.33203125" style="2" customWidth="1"/>
    <col min="14" max="18" width="10.1640625" style="140" hidden="1" customWidth="1"/>
    <col min="19" max="23" width="10.33203125" style="140" hidden="1" customWidth="1"/>
    <col min="24" max="24" width="10.1640625" style="141" hidden="1" customWidth="1"/>
    <col min="25" max="25" width="8.5" style="141" hidden="1" customWidth="1"/>
    <col min="26" max="26" width="10.33203125" style="141" hidden="1" customWidth="1"/>
    <col min="27" max="27" width="28.6640625" style="2"/>
    <col min="28" max="16384" width="28.6640625" style="3"/>
  </cols>
  <sheetData>
    <row r="1" spans="1:27" ht="60.75" customHeight="1">
      <c r="A1" s="413" t="s">
        <v>455</v>
      </c>
      <c r="B1" s="413"/>
      <c r="C1" s="413"/>
      <c r="D1" s="413"/>
      <c r="E1" s="413"/>
      <c r="F1" s="413"/>
      <c r="G1" s="413"/>
      <c r="H1" s="413"/>
      <c r="I1" s="413"/>
      <c r="J1" s="413"/>
      <c r="K1" s="413"/>
      <c r="L1" s="413"/>
      <c r="M1" s="413"/>
    </row>
    <row r="2" spans="1:27" ht="33.75" customHeight="1">
      <c r="A2" s="262">
        <f>$M$23</f>
        <v>83</v>
      </c>
      <c r="B2" s="414" t="s">
        <v>134</v>
      </c>
      <c r="C2" s="383" t="s">
        <v>135</v>
      </c>
      <c r="D2" s="384" t="s">
        <v>136</v>
      </c>
      <c r="E2" s="384"/>
      <c r="F2" s="384"/>
      <c r="G2" s="384"/>
      <c r="H2" s="384" t="s">
        <v>137</v>
      </c>
      <c r="I2" s="384" t="s">
        <v>138</v>
      </c>
      <c r="J2" s="385" t="s">
        <v>139</v>
      </c>
      <c r="K2" s="385" t="s">
        <v>140</v>
      </c>
      <c r="L2" s="385" t="s">
        <v>141</v>
      </c>
      <c r="M2" s="386" t="s">
        <v>142</v>
      </c>
    </row>
    <row r="3" spans="1:27" ht="31.5" customHeight="1">
      <c r="A3" s="263" t="s">
        <v>0</v>
      </c>
      <c r="B3" s="415"/>
      <c r="C3" s="383"/>
      <c r="D3" s="208" t="s">
        <v>143</v>
      </c>
      <c r="E3" s="208" t="s">
        <v>144</v>
      </c>
      <c r="F3" s="208" t="s">
        <v>145</v>
      </c>
      <c r="G3" s="208" t="s">
        <v>146</v>
      </c>
      <c r="H3" s="384"/>
      <c r="I3" s="384"/>
      <c r="J3" s="385"/>
      <c r="K3" s="385"/>
      <c r="L3" s="385"/>
      <c r="M3" s="386"/>
      <c r="N3" s="29" t="s">
        <v>147</v>
      </c>
      <c r="O3" s="29" t="s">
        <v>148</v>
      </c>
      <c r="P3" s="29" t="s">
        <v>149</v>
      </c>
      <c r="Q3" s="29" t="s">
        <v>150</v>
      </c>
      <c r="R3" s="29" t="s">
        <v>147</v>
      </c>
      <c r="S3" s="29" t="s">
        <v>148</v>
      </c>
      <c r="T3" s="29" t="s">
        <v>149</v>
      </c>
      <c r="U3" s="29" t="s">
        <v>150</v>
      </c>
      <c r="V3" s="29" t="s">
        <v>164</v>
      </c>
      <c r="W3" s="29" t="s">
        <v>165</v>
      </c>
      <c r="X3" s="30" t="s">
        <v>153</v>
      </c>
      <c r="Y3" s="30" t="s">
        <v>154</v>
      </c>
    </row>
    <row r="4" spans="1:27" s="131" customFormat="1" ht="54.95" customHeight="1">
      <c r="A4" s="209">
        <v>1</v>
      </c>
      <c r="B4" s="280" t="s">
        <v>1400</v>
      </c>
      <c r="C4" s="211">
        <v>8.3000000000000004E-2</v>
      </c>
      <c r="D4" s="212">
        <v>0</v>
      </c>
      <c r="E4" s="212">
        <v>0</v>
      </c>
      <c r="F4" s="212">
        <v>0</v>
      </c>
      <c r="G4" s="212">
        <v>1</v>
      </c>
      <c r="H4" s="212">
        <v>1</v>
      </c>
      <c r="I4" s="212">
        <v>1</v>
      </c>
      <c r="J4" s="213">
        <v>0</v>
      </c>
      <c r="K4" s="213">
        <v>0</v>
      </c>
      <c r="L4" s="213">
        <f t="shared" ref="L4:L18" si="0">(((J4*C4)/$A$2)*D4)+(((J4*C4)/$A$2)*E4)+(((J4*C4)/$A$2)*F4)+(((J4*C4)/$A$2)*G4)</f>
        <v>0</v>
      </c>
      <c r="M4" s="214">
        <f t="shared" ref="M4:M18" si="1">(((K4*C4)/$A$2)*D4)+(((K4*C4)/$A$2)*E4)+(((K4*C4)/$A$2)*F4)+(((K4*C4)/$A$2)*G4)</f>
        <v>0</v>
      </c>
      <c r="N4" s="122">
        <f t="shared" ref="N4:N18" si="2">J4*D4*C4/$A$2</f>
        <v>0</v>
      </c>
      <c r="O4" s="122">
        <f t="shared" ref="O4:O18" si="3">J4*E4*C4/$A$2</f>
        <v>0</v>
      </c>
      <c r="P4" s="122">
        <f>J4*F4*C4/$A$2</f>
        <v>0</v>
      </c>
      <c r="Q4" s="122">
        <f t="shared" ref="Q4:Q18" si="4">J4*G4*C4/$A$2</f>
        <v>0</v>
      </c>
      <c r="R4" s="122">
        <f t="shared" ref="R4:R18" si="5">K4*D4*C4/$A$2</f>
        <v>0</v>
      </c>
      <c r="S4" s="122">
        <f t="shared" ref="S4:S18" si="6">K4*E4*C4/$A$2</f>
        <v>0</v>
      </c>
      <c r="T4" s="122">
        <f t="shared" ref="T4:T18" si="7">K4*F4*C4/$A$2</f>
        <v>0</v>
      </c>
      <c r="U4" s="122">
        <f t="shared" ref="U4:U18" si="8">K4*G4*C4/$A$2</f>
        <v>0</v>
      </c>
      <c r="V4" s="122">
        <f t="shared" ref="V4" si="9">((L4/15)*((I4+H4)-2))</f>
        <v>0</v>
      </c>
      <c r="W4" s="122">
        <f t="shared" ref="W4" si="10">((M4/15)*((I4+H4)-2))</f>
        <v>0</v>
      </c>
      <c r="X4" s="131">
        <f>L4*(V4/(V4-0.0000001))</f>
        <v>0</v>
      </c>
      <c r="Y4" s="131">
        <f>M4*(W4/(W4-0.0000001))</f>
        <v>0</v>
      </c>
      <c r="Z4" s="309"/>
      <c r="AA4" s="130"/>
    </row>
    <row r="5" spans="1:27" s="131" customFormat="1" ht="54.95" customHeight="1">
      <c r="A5" s="209">
        <v>2</v>
      </c>
      <c r="B5" s="280" t="s">
        <v>456</v>
      </c>
      <c r="C5" s="211">
        <v>3</v>
      </c>
      <c r="D5" s="212">
        <v>0</v>
      </c>
      <c r="E5" s="212">
        <v>1</v>
      </c>
      <c r="F5" s="212">
        <v>0</v>
      </c>
      <c r="G5" s="212">
        <v>0</v>
      </c>
      <c r="H5" s="212">
        <v>1</v>
      </c>
      <c r="I5" s="212">
        <v>1</v>
      </c>
      <c r="J5" s="213">
        <v>0</v>
      </c>
      <c r="K5" s="213">
        <v>0</v>
      </c>
      <c r="L5" s="213">
        <f t="shared" si="0"/>
        <v>0</v>
      </c>
      <c r="M5" s="214">
        <f t="shared" si="1"/>
        <v>0</v>
      </c>
      <c r="N5" s="122">
        <f t="shared" si="2"/>
        <v>0</v>
      </c>
      <c r="O5" s="122">
        <f t="shared" si="3"/>
        <v>0</v>
      </c>
      <c r="P5" s="122">
        <f t="shared" ref="P5:P18" si="11">J5*F5*C5/$A$2</f>
        <v>0</v>
      </c>
      <c r="Q5" s="122">
        <f t="shared" si="4"/>
        <v>0</v>
      </c>
      <c r="R5" s="122">
        <f t="shared" si="5"/>
        <v>0</v>
      </c>
      <c r="S5" s="122">
        <f t="shared" si="6"/>
        <v>0</v>
      </c>
      <c r="T5" s="122">
        <f t="shared" si="7"/>
        <v>0</v>
      </c>
      <c r="U5" s="122">
        <f t="shared" si="8"/>
        <v>0</v>
      </c>
      <c r="V5" s="122">
        <f t="shared" ref="V5:V21" si="12">((L5/15)*((I5+H5)-2))</f>
        <v>0</v>
      </c>
      <c r="W5" s="122">
        <f t="shared" ref="W5:W21" si="13">((M5/15)*((I5+H5)-2))</f>
        <v>0</v>
      </c>
      <c r="X5" s="131">
        <f t="shared" ref="X5:X21" si="14">L5*(V5/(V5-0.0000001))</f>
        <v>0</v>
      </c>
      <c r="Y5" s="131">
        <f t="shared" ref="Y5:Y21" si="15">M5*(W5/(W5-0.0000001))</f>
        <v>0</v>
      </c>
      <c r="Z5" s="309"/>
      <c r="AA5" s="130"/>
    </row>
    <row r="6" spans="1:27" s="131" customFormat="1" ht="54.95" customHeight="1">
      <c r="A6" s="209">
        <v>3</v>
      </c>
      <c r="B6" s="280" t="s">
        <v>457</v>
      </c>
      <c r="C6" s="211">
        <v>40</v>
      </c>
      <c r="D6" s="212">
        <v>0</v>
      </c>
      <c r="E6" s="212">
        <v>1</v>
      </c>
      <c r="F6" s="212">
        <v>0</v>
      </c>
      <c r="G6" s="212">
        <v>0</v>
      </c>
      <c r="H6" s="212">
        <v>1</v>
      </c>
      <c r="I6" s="212">
        <v>1</v>
      </c>
      <c r="J6" s="213">
        <v>0</v>
      </c>
      <c r="K6" s="213">
        <v>0</v>
      </c>
      <c r="L6" s="213">
        <f t="shared" si="0"/>
        <v>0</v>
      </c>
      <c r="M6" s="214">
        <f t="shared" si="1"/>
        <v>0</v>
      </c>
      <c r="N6" s="122">
        <f t="shared" si="2"/>
        <v>0</v>
      </c>
      <c r="O6" s="122">
        <f t="shared" si="3"/>
        <v>0</v>
      </c>
      <c r="P6" s="122">
        <f t="shared" si="11"/>
        <v>0</v>
      </c>
      <c r="Q6" s="122">
        <f t="shared" si="4"/>
        <v>0</v>
      </c>
      <c r="R6" s="122">
        <f t="shared" si="5"/>
        <v>0</v>
      </c>
      <c r="S6" s="122">
        <f t="shared" si="6"/>
        <v>0</v>
      </c>
      <c r="T6" s="122">
        <f t="shared" si="7"/>
        <v>0</v>
      </c>
      <c r="U6" s="122">
        <f t="shared" si="8"/>
        <v>0</v>
      </c>
      <c r="V6" s="122">
        <f t="shared" si="12"/>
        <v>0</v>
      </c>
      <c r="W6" s="122">
        <f t="shared" si="13"/>
        <v>0</v>
      </c>
      <c r="X6" s="131">
        <f t="shared" si="14"/>
        <v>0</v>
      </c>
      <c r="Y6" s="131">
        <f t="shared" si="15"/>
        <v>0</v>
      </c>
      <c r="Z6" s="309"/>
      <c r="AA6" s="130"/>
    </row>
    <row r="7" spans="1:27" ht="54.95" customHeight="1">
      <c r="A7" s="209">
        <v>4</v>
      </c>
      <c r="B7" s="280" t="s">
        <v>1401</v>
      </c>
      <c r="C7" s="211">
        <v>0.11600000000000001</v>
      </c>
      <c r="D7" s="212">
        <v>0</v>
      </c>
      <c r="E7" s="212">
        <v>0</v>
      </c>
      <c r="F7" s="212">
        <v>0</v>
      </c>
      <c r="G7" s="212">
        <v>1</v>
      </c>
      <c r="H7" s="212">
        <v>1</v>
      </c>
      <c r="I7" s="212">
        <v>1</v>
      </c>
      <c r="J7" s="213">
        <v>0</v>
      </c>
      <c r="K7" s="213">
        <v>0</v>
      </c>
      <c r="L7" s="213">
        <f t="shared" si="0"/>
        <v>0</v>
      </c>
      <c r="M7" s="214">
        <f t="shared" si="1"/>
        <v>0</v>
      </c>
      <c r="N7" s="122">
        <f t="shared" si="2"/>
        <v>0</v>
      </c>
      <c r="O7" s="122">
        <f t="shared" si="3"/>
        <v>0</v>
      </c>
      <c r="P7" s="122">
        <f t="shared" si="11"/>
        <v>0</v>
      </c>
      <c r="Q7" s="122">
        <f t="shared" si="4"/>
        <v>0</v>
      </c>
      <c r="R7" s="122">
        <f t="shared" si="5"/>
        <v>0</v>
      </c>
      <c r="S7" s="122">
        <f t="shared" si="6"/>
        <v>0</v>
      </c>
      <c r="T7" s="122">
        <f t="shared" si="7"/>
        <v>0</v>
      </c>
      <c r="U7" s="122">
        <f t="shared" si="8"/>
        <v>0</v>
      </c>
      <c r="V7" s="122">
        <f t="shared" si="12"/>
        <v>0</v>
      </c>
      <c r="W7" s="122">
        <f t="shared" si="13"/>
        <v>0</v>
      </c>
      <c r="X7" s="131">
        <f t="shared" si="14"/>
        <v>0</v>
      </c>
      <c r="Y7" s="131">
        <f t="shared" si="15"/>
        <v>0</v>
      </c>
      <c r="Z7" s="137"/>
    </row>
    <row r="8" spans="1:27" ht="54.95" customHeight="1">
      <c r="A8" s="209">
        <v>5</v>
      </c>
      <c r="B8" s="280" t="s">
        <v>459</v>
      </c>
      <c r="C8" s="211">
        <v>3</v>
      </c>
      <c r="D8" s="212">
        <v>0</v>
      </c>
      <c r="E8" s="212">
        <v>1</v>
      </c>
      <c r="F8" s="212">
        <v>0</v>
      </c>
      <c r="G8" s="212">
        <v>0</v>
      </c>
      <c r="H8" s="212">
        <v>1</v>
      </c>
      <c r="I8" s="212">
        <v>1</v>
      </c>
      <c r="J8" s="213">
        <v>0</v>
      </c>
      <c r="K8" s="213">
        <v>0</v>
      </c>
      <c r="L8" s="213">
        <f t="shared" si="0"/>
        <v>0</v>
      </c>
      <c r="M8" s="214">
        <f t="shared" si="1"/>
        <v>0</v>
      </c>
      <c r="N8" s="122">
        <f t="shared" si="2"/>
        <v>0</v>
      </c>
      <c r="O8" s="122">
        <f t="shared" si="3"/>
        <v>0</v>
      </c>
      <c r="P8" s="122">
        <f t="shared" si="11"/>
        <v>0</v>
      </c>
      <c r="Q8" s="122">
        <f t="shared" si="4"/>
        <v>0</v>
      </c>
      <c r="R8" s="122">
        <f t="shared" si="5"/>
        <v>0</v>
      </c>
      <c r="S8" s="122">
        <f t="shared" si="6"/>
        <v>0</v>
      </c>
      <c r="T8" s="122">
        <f t="shared" si="7"/>
        <v>0</v>
      </c>
      <c r="U8" s="122">
        <f t="shared" si="8"/>
        <v>0</v>
      </c>
      <c r="V8" s="122">
        <f t="shared" si="12"/>
        <v>0</v>
      </c>
      <c r="W8" s="122">
        <f t="shared" si="13"/>
        <v>0</v>
      </c>
      <c r="X8" s="131">
        <f t="shared" si="14"/>
        <v>0</v>
      </c>
      <c r="Y8" s="131">
        <f t="shared" si="15"/>
        <v>0</v>
      </c>
      <c r="Z8" s="137"/>
    </row>
    <row r="9" spans="1:27" s="2" customFormat="1" ht="54.95" customHeight="1">
      <c r="A9" s="209">
        <v>6</v>
      </c>
      <c r="B9" s="280" t="s">
        <v>460</v>
      </c>
      <c r="C9" s="211">
        <v>40</v>
      </c>
      <c r="D9" s="212">
        <v>0</v>
      </c>
      <c r="E9" s="212">
        <v>1</v>
      </c>
      <c r="F9" s="212">
        <v>0</v>
      </c>
      <c r="G9" s="212">
        <v>0</v>
      </c>
      <c r="H9" s="212">
        <v>1</v>
      </c>
      <c r="I9" s="212">
        <v>1</v>
      </c>
      <c r="J9" s="213">
        <v>0</v>
      </c>
      <c r="K9" s="213">
        <v>0</v>
      </c>
      <c r="L9" s="213">
        <f t="shared" si="0"/>
        <v>0</v>
      </c>
      <c r="M9" s="214">
        <f t="shared" si="1"/>
        <v>0</v>
      </c>
      <c r="N9" s="122">
        <f t="shared" si="2"/>
        <v>0</v>
      </c>
      <c r="O9" s="122">
        <f t="shared" si="3"/>
        <v>0</v>
      </c>
      <c r="P9" s="122">
        <f t="shared" si="11"/>
        <v>0</v>
      </c>
      <c r="Q9" s="122">
        <f t="shared" si="4"/>
        <v>0</v>
      </c>
      <c r="R9" s="122">
        <f t="shared" si="5"/>
        <v>0</v>
      </c>
      <c r="S9" s="122">
        <f t="shared" si="6"/>
        <v>0</v>
      </c>
      <c r="T9" s="122">
        <f t="shared" si="7"/>
        <v>0</v>
      </c>
      <c r="U9" s="122">
        <f t="shared" si="8"/>
        <v>0</v>
      </c>
      <c r="V9" s="122">
        <f t="shared" si="12"/>
        <v>0</v>
      </c>
      <c r="W9" s="122">
        <f t="shared" si="13"/>
        <v>0</v>
      </c>
      <c r="X9" s="131">
        <f t="shared" si="14"/>
        <v>0</v>
      </c>
      <c r="Y9" s="131">
        <f t="shared" si="15"/>
        <v>0</v>
      </c>
      <c r="Z9" s="137"/>
    </row>
    <row r="10" spans="1:27" s="131" customFormat="1" ht="54.95" customHeight="1">
      <c r="A10" s="209">
        <v>7</v>
      </c>
      <c r="B10" s="280" t="s">
        <v>1402</v>
      </c>
      <c r="C10" s="211">
        <v>0.11600000000000001</v>
      </c>
      <c r="D10" s="212">
        <v>0</v>
      </c>
      <c r="E10" s="212">
        <v>0</v>
      </c>
      <c r="F10" s="212">
        <v>0</v>
      </c>
      <c r="G10" s="212">
        <v>1</v>
      </c>
      <c r="H10" s="212">
        <v>1</v>
      </c>
      <c r="I10" s="212">
        <v>1</v>
      </c>
      <c r="J10" s="213">
        <v>0</v>
      </c>
      <c r="K10" s="213">
        <v>0</v>
      </c>
      <c r="L10" s="213">
        <f t="shared" si="0"/>
        <v>0</v>
      </c>
      <c r="M10" s="214">
        <f t="shared" si="1"/>
        <v>0</v>
      </c>
      <c r="N10" s="122">
        <f t="shared" si="2"/>
        <v>0</v>
      </c>
      <c r="O10" s="122">
        <f t="shared" si="3"/>
        <v>0</v>
      </c>
      <c r="P10" s="122">
        <f t="shared" si="11"/>
        <v>0</v>
      </c>
      <c r="Q10" s="122">
        <f t="shared" si="4"/>
        <v>0</v>
      </c>
      <c r="R10" s="122">
        <f t="shared" si="5"/>
        <v>0</v>
      </c>
      <c r="S10" s="122">
        <f t="shared" si="6"/>
        <v>0</v>
      </c>
      <c r="T10" s="122">
        <f t="shared" si="7"/>
        <v>0</v>
      </c>
      <c r="U10" s="122">
        <f t="shared" si="8"/>
        <v>0</v>
      </c>
      <c r="V10" s="122">
        <f t="shared" si="12"/>
        <v>0</v>
      </c>
      <c r="W10" s="122">
        <f t="shared" si="13"/>
        <v>0</v>
      </c>
      <c r="X10" s="131">
        <f t="shared" si="14"/>
        <v>0</v>
      </c>
      <c r="Y10" s="131">
        <f t="shared" si="15"/>
        <v>0</v>
      </c>
      <c r="Z10" s="309"/>
      <c r="AA10" s="130"/>
    </row>
    <row r="11" spans="1:27" s="131" customFormat="1" ht="54.95" customHeight="1">
      <c r="A11" s="209">
        <v>8</v>
      </c>
      <c r="B11" s="280" t="s">
        <v>462</v>
      </c>
      <c r="C11" s="211">
        <v>3</v>
      </c>
      <c r="D11" s="212">
        <v>0</v>
      </c>
      <c r="E11" s="212">
        <v>1</v>
      </c>
      <c r="F11" s="212">
        <v>0</v>
      </c>
      <c r="G11" s="212">
        <v>0</v>
      </c>
      <c r="H11" s="212">
        <v>1</v>
      </c>
      <c r="I11" s="212">
        <v>1</v>
      </c>
      <c r="J11" s="213">
        <v>0</v>
      </c>
      <c r="K11" s="213">
        <v>0</v>
      </c>
      <c r="L11" s="213">
        <f t="shared" si="0"/>
        <v>0</v>
      </c>
      <c r="M11" s="214">
        <f t="shared" si="1"/>
        <v>0</v>
      </c>
      <c r="N11" s="122">
        <f t="shared" si="2"/>
        <v>0</v>
      </c>
      <c r="O11" s="122">
        <f t="shared" si="3"/>
        <v>0</v>
      </c>
      <c r="P11" s="122">
        <f t="shared" si="11"/>
        <v>0</v>
      </c>
      <c r="Q11" s="122">
        <f t="shared" si="4"/>
        <v>0</v>
      </c>
      <c r="R11" s="122">
        <f t="shared" si="5"/>
        <v>0</v>
      </c>
      <c r="S11" s="122">
        <f t="shared" si="6"/>
        <v>0</v>
      </c>
      <c r="T11" s="122">
        <f t="shared" si="7"/>
        <v>0</v>
      </c>
      <c r="U11" s="122">
        <f t="shared" si="8"/>
        <v>0</v>
      </c>
      <c r="V11" s="122">
        <f t="shared" si="12"/>
        <v>0</v>
      </c>
      <c r="W11" s="122">
        <f t="shared" si="13"/>
        <v>0</v>
      </c>
      <c r="X11" s="131">
        <f t="shared" si="14"/>
        <v>0</v>
      </c>
      <c r="Y11" s="131">
        <f t="shared" si="15"/>
        <v>0</v>
      </c>
      <c r="Z11" s="309"/>
      <c r="AA11" s="130"/>
    </row>
    <row r="12" spans="1:27" s="131" customFormat="1" ht="54.95" customHeight="1">
      <c r="A12" s="209">
        <v>9</v>
      </c>
      <c r="B12" s="280" t="s">
        <v>463</v>
      </c>
      <c r="C12" s="211">
        <v>40</v>
      </c>
      <c r="D12" s="212">
        <v>0</v>
      </c>
      <c r="E12" s="212">
        <v>1</v>
      </c>
      <c r="F12" s="212">
        <v>0</v>
      </c>
      <c r="G12" s="212">
        <v>0</v>
      </c>
      <c r="H12" s="212">
        <v>1</v>
      </c>
      <c r="I12" s="212">
        <v>1</v>
      </c>
      <c r="J12" s="213">
        <v>0</v>
      </c>
      <c r="K12" s="213">
        <v>0</v>
      </c>
      <c r="L12" s="213">
        <f t="shared" si="0"/>
        <v>0</v>
      </c>
      <c r="M12" s="214">
        <f t="shared" si="1"/>
        <v>0</v>
      </c>
      <c r="N12" s="122">
        <f t="shared" si="2"/>
        <v>0</v>
      </c>
      <c r="O12" s="122">
        <f t="shared" si="3"/>
        <v>0</v>
      </c>
      <c r="P12" s="122">
        <f t="shared" si="11"/>
        <v>0</v>
      </c>
      <c r="Q12" s="122">
        <f t="shared" si="4"/>
        <v>0</v>
      </c>
      <c r="R12" s="122">
        <f t="shared" si="5"/>
        <v>0</v>
      </c>
      <c r="S12" s="122">
        <f t="shared" si="6"/>
        <v>0</v>
      </c>
      <c r="T12" s="122">
        <f t="shared" si="7"/>
        <v>0</v>
      </c>
      <c r="U12" s="122">
        <f t="shared" si="8"/>
        <v>0</v>
      </c>
      <c r="V12" s="122">
        <f t="shared" si="12"/>
        <v>0</v>
      </c>
      <c r="W12" s="122">
        <f t="shared" si="13"/>
        <v>0</v>
      </c>
      <c r="X12" s="131">
        <f t="shared" si="14"/>
        <v>0</v>
      </c>
      <c r="Y12" s="131">
        <f t="shared" si="15"/>
        <v>0</v>
      </c>
      <c r="Z12" s="309"/>
      <c r="AA12" s="130"/>
    </row>
    <row r="13" spans="1:27" ht="54.95" customHeight="1">
      <c r="A13" s="209">
        <v>10</v>
      </c>
      <c r="B13" s="280" t="s">
        <v>1403</v>
      </c>
      <c r="C13" s="211">
        <v>8.3000000000000004E-2</v>
      </c>
      <c r="D13" s="212">
        <v>0</v>
      </c>
      <c r="E13" s="212">
        <v>0</v>
      </c>
      <c r="F13" s="212">
        <v>0</v>
      </c>
      <c r="G13" s="212">
        <v>1</v>
      </c>
      <c r="H13" s="212">
        <v>1</v>
      </c>
      <c r="I13" s="212">
        <v>1</v>
      </c>
      <c r="J13" s="213">
        <v>0</v>
      </c>
      <c r="K13" s="213">
        <v>0</v>
      </c>
      <c r="L13" s="213">
        <f t="shared" si="0"/>
        <v>0</v>
      </c>
      <c r="M13" s="214">
        <f t="shared" si="1"/>
        <v>0</v>
      </c>
      <c r="N13" s="122">
        <f t="shared" si="2"/>
        <v>0</v>
      </c>
      <c r="O13" s="122">
        <f t="shared" si="3"/>
        <v>0</v>
      </c>
      <c r="P13" s="122">
        <f t="shared" si="11"/>
        <v>0</v>
      </c>
      <c r="Q13" s="122">
        <f t="shared" si="4"/>
        <v>0</v>
      </c>
      <c r="R13" s="122">
        <f t="shared" si="5"/>
        <v>0</v>
      </c>
      <c r="S13" s="122">
        <f t="shared" si="6"/>
        <v>0</v>
      </c>
      <c r="T13" s="122">
        <f t="shared" si="7"/>
        <v>0</v>
      </c>
      <c r="U13" s="122">
        <f t="shared" si="8"/>
        <v>0</v>
      </c>
      <c r="V13" s="122">
        <f t="shared" si="12"/>
        <v>0</v>
      </c>
      <c r="W13" s="122">
        <f t="shared" si="13"/>
        <v>0</v>
      </c>
      <c r="X13" s="131">
        <f t="shared" si="14"/>
        <v>0</v>
      </c>
      <c r="Y13" s="131">
        <f t="shared" si="15"/>
        <v>0</v>
      </c>
      <c r="Z13" s="137"/>
    </row>
    <row r="14" spans="1:27" ht="54.95" customHeight="1">
      <c r="A14" s="209">
        <v>11</v>
      </c>
      <c r="B14" s="280" t="s">
        <v>464</v>
      </c>
      <c r="C14" s="211">
        <v>3</v>
      </c>
      <c r="D14" s="212">
        <v>0</v>
      </c>
      <c r="E14" s="212">
        <v>1</v>
      </c>
      <c r="F14" s="212">
        <v>0</v>
      </c>
      <c r="G14" s="212">
        <v>0</v>
      </c>
      <c r="H14" s="212">
        <v>1</v>
      </c>
      <c r="I14" s="212">
        <v>1</v>
      </c>
      <c r="J14" s="213">
        <v>0</v>
      </c>
      <c r="K14" s="213">
        <v>0</v>
      </c>
      <c r="L14" s="213">
        <f t="shared" si="0"/>
        <v>0</v>
      </c>
      <c r="M14" s="214">
        <f t="shared" si="1"/>
        <v>0</v>
      </c>
      <c r="N14" s="122">
        <f t="shared" si="2"/>
        <v>0</v>
      </c>
      <c r="O14" s="122">
        <f t="shared" si="3"/>
        <v>0</v>
      </c>
      <c r="P14" s="122">
        <f t="shared" si="11"/>
        <v>0</v>
      </c>
      <c r="Q14" s="122">
        <f t="shared" si="4"/>
        <v>0</v>
      </c>
      <c r="R14" s="122">
        <f t="shared" si="5"/>
        <v>0</v>
      </c>
      <c r="S14" s="122">
        <f t="shared" si="6"/>
        <v>0</v>
      </c>
      <c r="T14" s="122">
        <f t="shared" si="7"/>
        <v>0</v>
      </c>
      <c r="U14" s="122">
        <f t="shared" si="8"/>
        <v>0</v>
      </c>
      <c r="V14" s="122">
        <f t="shared" si="12"/>
        <v>0</v>
      </c>
      <c r="W14" s="122">
        <f t="shared" si="13"/>
        <v>0</v>
      </c>
      <c r="X14" s="131">
        <f t="shared" si="14"/>
        <v>0</v>
      </c>
      <c r="Y14" s="131">
        <f t="shared" si="15"/>
        <v>0</v>
      </c>
      <c r="Z14" s="137"/>
    </row>
    <row r="15" spans="1:27" s="2" customFormat="1" ht="54.95" customHeight="1">
      <c r="A15" s="209">
        <v>12</v>
      </c>
      <c r="B15" s="280" t="s">
        <v>465</v>
      </c>
      <c r="C15" s="211">
        <v>40</v>
      </c>
      <c r="D15" s="212">
        <v>0</v>
      </c>
      <c r="E15" s="212">
        <v>1</v>
      </c>
      <c r="F15" s="212">
        <v>0</v>
      </c>
      <c r="G15" s="212">
        <v>0</v>
      </c>
      <c r="H15" s="212">
        <v>1</v>
      </c>
      <c r="I15" s="212">
        <v>1</v>
      </c>
      <c r="J15" s="213">
        <v>0</v>
      </c>
      <c r="K15" s="213">
        <v>0</v>
      </c>
      <c r="L15" s="213">
        <f t="shared" si="0"/>
        <v>0</v>
      </c>
      <c r="M15" s="214">
        <f t="shared" si="1"/>
        <v>0</v>
      </c>
      <c r="N15" s="122">
        <f t="shared" si="2"/>
        <v>0</v>
      </c>
      <c r="O15" s="122">
        <f t="shared" si="3"/>
        <v>0</v>
      </c>
      <c r="P15" s="122">
        <f t="shared" si="11"/>
        <v>0</v>
      </c>
      <c r="Q15" s="122">
        <f t="shared" si="4"/>
        <v>0</v>
      </c>
      <c r="R15" s="122">
        <f t="shared" si="5"/>
        <v>0</v>
      </c>
      <c r="S15" s="122">
        <f t="shared" si="6"/>
        <v>0</v>
      </c>
      <c r="T15" s="122">
        <f t="shared" si="7"/>
        <v>0</v>
      </c>
      <c r="U15" s="122">
        <f t="shared" si="8"/>
        <v>0</v>
      </c>
      <c r="V15" s="122">
        <f t="shared" si="12"/>
        <v>0</v>
      </c>
      <c r="W15" s="122">
        <f t="shared" si="13"/>
        <v>0</v>
      </c>
      <c r="X15" s="131">
        <f t="shared" si="14"/>
        <v>0</v>
      </c>
      <c r="Y15" s="131">
        <f t="shared" si="15"/>
        <v>0</v>
      </c>
      <c r="Z15" s="137"/>
    </row>
    <row r="16" spans="1:27" s="2" customFormat="1" ht="54.95" customHeight="1">
      <c r="A16" s="209">
        <v>13</v>
      </c>
      <c r="B16" s="280" t="s">
        <v>1404</v>
      </c>
      <c r="C16" s="211">
        <v>0.11600000000000001</v>
      </c>
      <c r="D16" s="212">
        <v>0</v>
      </c>
      <c r="E16" s="212">
        <v>0</v>
      </c>
      <c r="F16" s="212">
        <v>0</v>
      </c>
      <c r="G16" s="212">
        <v>1</v>
      </c>
      <c r="H16" s="212">
        <v>1</v>
      </c>
      <c r="I16" s="212">
        <v>1</v>
      </c>
      <c r="J16" s="213">
        <v>0</v>
      </c>
      <c r="K16" s="213">
        <v>0</v>
      </c>
      <c r="L16" s="213">
        <f t="shared" si="0"/>
        <v>0</v>
      </c>
      <c r="M16" s="214">
        <f t="shared" si="1"/>
        <v>0</v>
      </c>
      <c r="N16" s="122">
        <f t="shared" si="2"/>
        <v>0</v>
      </c>
      <c r="O16" s="122">
        <f t="shared" si="3"/>
        <v>0</v>
      </c>
      <c r="P16" s="122">
        <f t="shared" si="11"/>
        <v>0</v>
      </c>
      <c r="Q16" s="122">
        <f t="shared" si="4"/>
        <v>0</v>
      </c>
      <c r="R16" s="122">
        <f t="shared" si="5"/>
        <v>0</v>
      </c>
      <c r="S16" s="122">
        <f t="shared" si="6"/>
        <v>0</v>
      </c>
      <c r="T16" s="122">
        <f t="shared" si="7"/>
        <v>0</v>
      </c>
      <c r="U16" s="122">
        <f t="shared" si="8"/>
        <v>0</v>
      </c>
      <c r="V16" s="122">
        <f t="shared" si="12"/>
        <v>0</v>
      </c>
      <c r="W16" s="122">
        <f t="shared" si="13"/>
        <v>0</v>
      </c>
      <c r="X16" s="131">
        <f t="shared" si="14"/>
        <v>0</v>
      </c>
      <c r="Y16" s="131">
        <f t="shared" si="15"/>
        <v>0</v>
      </c>
      <c r="Z16" s="137"/>
    </row>
    <row r="17" spans="1:27" s="2" customFormat="1" ht="54.95" customHeight="1">
      <c r="A17" s="209">
        <v>14</v>
      </c>
      <c r="B17" s="280" t="s">
        <v>466</v>
      </c>
      <c r="C17" s="211">
        <v>3</v>
      </c>
      <c r="D17" s="212">
        <v>0</v>
      </c>
      <c r="E17" s="212">
        <v>1</v>
      </c>
      <c r="F17" s="212">
        <v>0</v>
      </c>
      <c r="G17" s="212">
        <v>0</v>
      </c>
      <c r="H17" s="212">
        <v>1</v>
      </c>
      <c r="I17" s="212">
        <v>1</v>
      </c>
      <c r="J17" s="213">
        <v>0</v>
      </c>
      <c r="K17" s="213">
        <v>0</v>
      </c>
      <c r="L17" s="213">
        <f t="shared" si="0"/>
        <v>0</v>
      </c>
      <c r="M17" s="214">
        <f t="shared" si="1"/>
        <v>0</v>
      </c>
      <c r="N17" s="122">
        <f t="shared" si="2"/>
        <v>0</v>
      </c>
      <c r="O17" s="122">
        <f t="shared" si="3"/>
        <v>0</v>
      </c>
      <c r="P17" s="122">
        <f t="shared" si="11"/>
        <v>0</v>
      </c>
      <c r="Q17" s="122">
        <f t="shared" si="4"/>
        <v>0</v>
      </c>
      <c r="R17" s="122">
        <f t="shared" si="5"/>
        <v>0</v>
      </c>
      <c r="S17" s="122">
        <f t="shared" si="6"/>
        <v>0</v>
      </c>
      <c r="T17" s="122">
        <f t="shared" si="7"/>
        <v>0</v>
      </c>
      <c r="U17" s="122">
        <f t="shared" si="8"/>
        <v>0</v>
      </c>
      <c r="V17" s="122">
        <f t="shared" si="12"/>
        <v>0</v>
      </c>
      <c r="W17" s="122">
        <f t="shared" si="13"/>
        <v>0</v>
      </c>
      <c r="X17" s="131">
        <f t="shared" si="14"/>
        <v>0</v>
      </c>
      <c r="Y17" s="131">
        <f t="shared" si="15"/>
        <v>0</v>
      </c>
      <c r="Z17" s="137"/>
    </row>
    <row r="18" spans="1:27" s="2" customFormat="1" ht="54.95" customHeight="1">
      <c r="A18" s="209">
        <v>15</v>
      </c>
      <c r="B18" s="280" t="s">
        <v>467</v>
      </c>
      <c r="C18" s="211">
        <v>40</v>
      </c>
      <c r="D18" s="212">
        <v>0</v>
      </c>
      <c r="E18" s="212">
        <v>1</v>
      </c>
      <c r="F18" s="212">
        <v>0</v>
      </c>
      <c r="G18" s="212">
        <v>0</v>
      </c>
      <c r="H18" s="212">
        <v>1</v>
      </c>
      <c r="I18" s="212">
        <v>1</v>
      </c>
      <c r="J18" s="213">
        <v>0</v>
      </c>
      <c r="K18" s="213">
        <v>0</v>
      </c>
      <c r="L18" s="213">
        <f t="shared" si="0"/>
        <v>0</v>
      </c>
      <c r="M18" s="214">
        <f t="shared" si="1"/>
        <v>0</v>
      </c>
      <c r="N18" s="122">
        <f t="shared" si="2"/>
        <v>0</v>
      </c>
      <c r="O18" s="122">
        <f t="shared" si="3"/>
        <v>0</v>
      </c>
      <c r="P18" s="122">
        <f t="shared" si="11"/>
        <v>0</v>
      </c>
      <c r="Q18" s="122">
        <f t="shared" si="4"/>
        <v>0</v>
      </c>
      <c r="R18" s="122">
        <f t="shared" si="5"/>
        <v>0</v>
      </c>
      <c r="S18" s="122">
        <f t="shared" si="6"/>
        <v>0</v>
      </c>
      <c r="T18" s="122">
        <f t="shared" si="7"/>
        <v>0</v>
      </c>
      <c r="U18" s="122">
        <f t="shared" si="8"/>
        <v>0</v>
      </c>
      <c r="V18" s="122">
        <f t="shared" si="12"/>
        <v>0</v>
      </c>
      <c r="W18" s="122">
        <f t="shared" si="13"/>
        <v>0</v>
      </c>
      <c r="X18" s="131">
        <f t="shared" si="14"/>
        <v>0</v>
      </c>
      <c r="Y18" s="131">
        <f t="shared" si="15"/>
        <v>0</v>
      </c>
      <c r="Z18" s="137"/>
    </row>
    <row r="19" spans="1:27" s="2" customFormat="1" ht="54.95" customHeight="1">
      <c r="A19" s="209">
        <v>16</v>
      </c>
      <c r="B19" s="280" t="s">
        <v>1406</v>
      </c>
      <c r="C19" s="300">
        <v>4.1500000000000002E-2</v>
      </c>
      <c r="D19" s="212">
        <v>0</v>
      </c>
      <c r="E19" s="212">
        <v>0</v>
      </c>
      <c r="F19" s="212">
        <v>0</v>
      </c>
      <c r="G19" s="212">
        <v>1</v>
      </c>
      <c r="H19" s="212">
        <v>1</v>
      </c>
      <c r="I19" s="212">
        <v>1</v>
      </c>
      <c r="J19" s="213">
        <v>0</v>
      </c>
      <c r="K19" s="213">
        <v>0</v>
      </c>
      <c r="L19" s="213">
        <f t="shared" ref="L19:L21" si="16">(((J19*C19)/$A$2)*D19)+(((J19*C19)/$A$2)*E19)+(((J19*C19)/$A$2)*F19)+(((J19*C19)/$A$2)*G19)</f>
        <v>0</v>
      </c>
      <c r="M19" s="214">
        <f t="shared" ref="M19:M21" si="17">(((K19*C19)/$A$2)*D19)+(((K19*C19)/$A$2)*E19)+(((K19*C19)/$A$2)*F19)+(((K19*C19)/$A$2)*G19)</f>
        <v>0</v>
      </c>
      <c r="N19" s="122">
        <f t="shared" ref="N19:N21" si="18">J19*D19*C19/$A$2</f>
        <v>0</v>
      </c>
      <c r="O19" s="122">
        <f t="shared" ref="O19:O21" si="19">J19*E19*C19/$A$2</f>
        <v>0</v>
      </c>
      <c r="P19" s="122">
        <f t="shared" ref="P19:P21" si="20">J19*F19*C19/$A$2</f>
        <v>0</v>
      </c>
      <c r="Q19" s="122">
        <f t="shared" ref="Q19:Q21" si="21">J19*G19*C19/$A$2</f>
        <v>0</v>
      </c>
      <c r="R19" s="122">
        <f t="shared" ref="R19:R21" si="22">K19*D19*C19/$A$2</f>
        <v>0</v>
      </c>
      <c r="S19" s="122">
        <f t="shared" ref="S19:S21" si="23">K19*E19*C19/$A$2</f>
        <v>0</v>
      </c>
      <c r="T19" s="122">
        <f t="shared" ref="T19:T21" si="24">K19*F19*C19/$A$2</f>
        <v>0</v>
      </c>
      <c r="U19" s="122">
        <f t="shared" ref="U19:U21" si="25">K19*G19*C19/$A$2</f>
        <v>0</v>
      </c>
      <c r="V19" s="122">
        <f t="shared" si="12"/>
        <v>0</v>
      </c>
      <c r="W19" s="122">
        <f t="shared" si="13"/>
        <v>0</v>
      </c>
      <c r="X19" s="131">
        <f t="shared" si="14"/>
        <v>0</v>
      </c>
      <c r="Y19" s="131">
        <f t="shared" si="15"/>
        <v>0</v>
      </c>
      <c r="Z19" s="137"/>
    </row>
    <row r="20" spans="1:27" s="2" customFormat="1" ht="54.95" customHeight="1">
      <c r="A20" s="209">
        <v>17</v>
      </c>
      <c r="B20" s="280" t="s">
        <v>1405</v>
      </c>
      <c r="C20" s="211">
        <v>3</v>
      </c>
      <c r="D20" s="212">
        <v>0</v>
      </c>
      <c r="E20" s="212">
        <v>1</v>
      </c>
      <c r="F20" s="212">
        <v>0</v>
      </c>
      <c r="G20" s="212">
        <v>0</v>
      </c>
      <c r="H20" s="212">
        <v>1</v>
      </c>
      <c r="I20" s="212">
        <v>1</v>
      </c>
      <c r="J20" s="213">
        <v>0</v>
      </c>
      <c r="K20" s="213">
        <v>0</v>
      </c>
      <c r="L20" s="213">
        <f t="shared" si="16"/>
        <v>0</v>
      </c>
      <c r="M20" s="214">
        <f t="shared" si="17"/>
        <v>0</v>
      </c>
      <c r="N20" s="122">
        <f t="shared" si="18"/>
        <v>0</v>
      </c>
      <c r="O20" s="122">
        <f t="shared" si="19"/>
        <v>0</v>
      </c>
      <c r="P20" s="122">
        <f t="shared" si="20"/>
        <v>0</v>
      </c>
      <c r="Q20" s="122">
        <f t="shared" si="21"/>
        <v>0</v>
      </c>
      <c r="R20" s="122">
        <f t="shared" si="22"/>
        <v>0</v>
      </c>
      <c r="S20" s="122">
        <f t="shared" si="23"/>
        <v>0</v>
      </c>
      <c r="T20" s="122">
        <f t="shared" si="24"/>
        <v>0</v>
      </c>
      <c r="U20" s="122">
        <f t="shared" si="25"/>
        <v>0</v>
      </c>
      <c r="V20" s="122">
        <f t="shared" si="12"/>
        <v>0</v>
      </c>
      <c r="W20" s="122">
        <f t="shared" si="13"/>
        <v>0</v>
      </c>
      <c r="X20" s="131">
        <f t="shared" si="14"/>
        <v>0</v>
      </c>
      <c r="Y20" s="131">
        <f t="shared" si="15"/>
        <v>0</v>
      </c>
      <c r="Z20" s="137"/>
    </row>
    <row r="21" spans="1:27" s="2" customFormat="1" ht="54.95" customHeight="1">
      <c r="A21" s="209">
        <v>18</v>
      </c>
      <c r="B21" s="280" t="s">
        <v>1399</v>
      </c>
      <c r="C21" s="211">
        <v>40</v>
      </c>
      <c r="D21" s="212">
        <v>0</v>
      </c>
      <c r="E21" s="212">
        <v>1</v>
      </c>
      <c r="F21" s="212">
        <v>0</v>
      </c>
      <c r="G21" s="212">
        <v>0</v>
      </c>
      <c r="H21" s="212">
        <v>1</v>
      </c>
      <c r="I21" s="212">
        <v>1</v>
      </c>
      <c r="J21" s="213">
        <v>0</v>
      </c>
      <c r="K21" s="213">
        <v>0</v>
      </c>
      <c r="L21" s="213">
        <f t="shared" si="16"/>
        <v>0</v>
      </c>
      <c r="M21" s="214">
        <f t="shared" si="17"/>
        <v>0</v>
      </c>
      <c r="N21" s="122">
        <f t="shared" si="18"/>
        <v>0</v>
      </c>
      <c r="O21" s="122">
        <f t="shared" si="19"/>
        <v>0</v>
      </c>
      <c r="P21" s="122">
        <f t="shared" si="20"/>
        <v>0</v>
      </c>
      <c r="Q21" s="122">
        <f t="shared" si="21"/>
        <v>0</v>
      </c>
      <c r="R21" s="122">
        <f t="shared" si="22"/>
        <v>0</v>
      </c>
      <c r="S21" s="122">
        <f t="shared" si="23"/>
        <v>0</v>
      </c>
      <c r="T21" s="122">
        <f t="shared" si="24"/>
        <v>0</v>
      </c>
      <c r="U21" s="122">
        <f t="shared" si="25"/>
        <v>0</v>
      </c>
      <c r="V21" s="122">
        <f t="shared" si="12"/>
        <v>0</v>
      </c>
      <c r="W21" s="122">
        <f t="shared" si="13"/>
        <v>0</v>
      </c>
      <c r="X21" s="131">
        <f t="shared" si="14"/>
        <v>0</v>
      </c>
      <c r="Y21" s="131">
        <f t="shared" si="15"/>
        <v>0</v>
      </c>
      <c r="Z21" s="137"/>
    </row>
    <row r="22" spans="1:27" s="2" customFormat="1" ht="54.95" customHeight="1">
      <c r="A22" s="377" t="s">
        <v>158</v>
      </c>
      <c r="B22" s="377"/>
      <c r="C22" s="378" t="s">
        <v>100</v>
      </c>
      <c r="D22" s="378"/>
      <c r="E22" s="378"/>
      <c r="F22" s="378"/>
      <c r="G22" s="378"/>
      <c r="H22" s="378"/>
      <c r="I22" s="378"/>
      <c r="J22" s="378"/>
      <c r="K22" s="378"/>
      <c r="L22" s="239">
        <f>SUM(L4:L21)</f>
        <v>0</v>
      </c>
      <c r="M22" s="239">
        <f>SUM(M4:M21)</f>
        <v>0</v>
      </c>
      <c r="N22" s="132">
        <f>SUM(N4:N21)</f>
        <v>0</v>
      </c>
      <c r="O22" s="132">
        <f t="shared" ref="O22:Y22" si="26">SUM(O4:O21)</f>
        <v>0</v>
      </c>
      <c r="P22" s="132">
        <f t="shared" si="26"/>
        <v>0</v>
      </c>
      <c r="Q22" s="132">
        <f t="shared" si="26"/>
        <v>0</v>
      </c>
      <c r="R22" s="132">
        <f t="shared" si="26"/>
        <v>0</v>
      </c>
      <c r="S22" s="132">
        <f t="shared" si="26"/>
        <v>0</v>
      </c>
      <c r="T22" s="132">
        <f t="shared" si="26"/>
        <v>0</v>
      </c>
      <c r="U22" s="132">
        <f t="shared" si="26"/>
        <v>0</v>
      </c>
      <c r="V22" s="132">
        <f t="shared" si="26"/>
        <v>0</v>
      </c>
      <c r="W22" s="132">
        <f t="shared" si="26"/>
        <v>0</v>
      </c>
      <c r="X22" s="132">
        <f t="shared" si="26"/>
        <v>0</v>
      </c>
      <c r="Y22" s="132">
        <f t="shared" si="26"/>
        <v>0</v>
      </c>
      <c r="Z22" s="137"/>
    </row>
    <row r="23" spans="1:27" s="2" customFormat="1" ht="54.95" customHeight="1">
      <c r="A23" s="379" t="s">
        <v>160</v>
      </c>
      <c r="B23" s="379"/>
      <c r="C23" s="379"/>
      <c r="D23" s="379"/>
      <c r="E23" s="379"/>
      <c r="F23" s="379"/>
      <c r="G23" s="379"/>
      <c r="H23" s="379"/>
      <c r="I23" s="379"/>
      <c r="J23" s="379"/>
      <c r="K23" s="379"/>
      <c r="L23" s="379"/>
      <c r="M23" s="216">
        <v>83</v>
      </c>
      <c r="N23" s="140"/>
      <c r="O23" s="140"/>
      <c r="P23" s="140"/>
      <c r="Q23" s="140"/>
      <c r="R23" s="140"/>
      <c r="S23" s="140"/>
      <c r="T23" s="140"/>
      <c r="U23" s="140"/>
      <c r="V23" s="140"/>
      <c r="W23" s="140"/>
      <c r="X23" s="141"/>
      <c r="Y23" s="141"/>
      <c r="Z23" s="140"/>
    </row>
    <row r="24" spans="1:27" s="2" customFormat="1" ht="54.95" customHeight="1">
      <c r="A24" s="3"/>
      <c r="B24" s="3"/>
      <c r="C24" s="125"/>
      <c r="D24" s="126"/>
      <c r="E24" s="126"/>
      <c r="F24" s="126"/>
      <c r="G24" s="126"/>
      <c r="H24" s="126"/>
      <c r="I24" s="126"/>
      <c r="J24" s="3"/>
      <c r="K24" s="3"/>
      <c r="L24" s="3"/>
      <c r="N24" s="140"/>
      <c r="O24" s="140"/>
      <c r="P24" s="140"/>
      <c r="Q24" s="140"/>
      <c r="R24" s="140"/>
      <c r="S24" s="140"/>
      <c r="T24" s="140"/>
      <c r="U24" s="140"/>
      <c r="V24" s="140"/>
      <c r="W24" s="140"/>
      <c r="X24" s="141"/>
      <c r="Y24" s="141"/>
      <c r="Z24" s="141"/>
    </row>
    <row r="25" spans="1:27" s="2" customFormat="1" ht="54.95" customHeight="1">
      <c r="A25" s="3"/>
      <c r="B25" s="3"/>
      <c r="C25" s="125"/>
      <c r="D25" s="126"/>
      <c r="E25" s="126"/>
      <c r="F25" s="126"/>
      <c r="G25" s="126"/>
      <c r="H25" s="126"/>
      <c r="I25" s="126"/>
      <c r="J25" s="3"/>
      <c r="K25" s="3"/>
      <c r="L25" s="3"/>
      <c r="N25" s="140"/>
      <c r="O25" s="140"/>
      <c r="P25" s="140"/>
      <c r="Q25" s="140"/>
      <c r="R25" s="140"/>
      <c r="S25" s="140"/>
      <c r="T25" s="140"/>
      <c r="U25" s="140"/>
      <c r="V25" s="140"/>
      <c r="W25" s="140"/>
      <c r="X25" s="141"/>
      <c r="Y25" s="141"/>
      <c r="Z25" s="141"/>
    </row>
    <row r="26" spans="1:27" s="2" customFormat="1" ht="54.95" customHeight="1">
      <c r="A26" s="3"/>
      <c r="B26" s="3"/>
      <c r="C26" s="125"/>
      <c r="D26" s="126"/>
      <c r="E26" s="126"/>
      <c r="F26" s="126"/>
      <c r="G26" s="126"/>
      <c r="H26" s="126"/>
      <c r="I26" s="126"/>
      <c r="J26" s="3"/>
      <c r="K26" s="3"/>
      <c r="L26" s="3"/>
      <c r="N26" s="140"/>
      <c r="O26" s="140"/>
      <c r="P26" s="140"/>
      <c r="Q26" s="140"/>
      <c r="R26" s="140"/>
      <c r="S26" s="140"/>
      <c r="T26" s="140"/>
      <c r="U26" s="140"/>
      <c r="V26" s="140"/>
      <c r="W26" s="140"/>
      <c r="X26" s="141"/>
      <c r="Y26" s="141"/>
      <c r="Z26" s="141"/>
    </row>
    <row r="27" spans="1:27" s="2" customFormat="1" ht="54.95" customHeight="1">
      <c r="A27" s="3"/>
      <c r="B27" s="3"/>
      <c r="C27" s="125"/>
      <c r="D27" s="126"/>
      <c r="E27" s="126"/>
      <c r="F27" s="126"/>
      <c r="G27" s="126"/>
      <c r="H27" s="126"/>
      <c r="I27" s="126"/>
      <c r="J27" s="3"/>
      <c r="K27" s="3"/>
      <c r="L27" s="3"/>
      <c r="N27" s="140"/>
      <c r="O27" s="140"/>
      <c r="P27" s="140"/>
      <c r="Q27" s="140"/>
      <c r="R27" s="140"/>
      <c r="S27" s="140"/>
      <c r="T27" s="140"/>
      <c r="U27" s="140"/>
      <c r="V27" s="140"/>
      <c r="W27" s="140"/>
      <c r="X27" s="141"/>
      <c r="Y27" s="141"/>
      <c r="Z27" s="141"/>
    </row>
    <row r="28" spans="1:27" s="2" customFormat="1" ht="54.95" customHeight="1">
      <c r="A28" s="3"/>
      <c r="B28" s="3"/>
      <c r="C28" s="125"/>
      <c r="D28" s="126"/>
      <c r="E28" s="126"/>
      <c r="F28" s="126"/>
      <c r="G28" s="126"/>
      <c r="H28" s="126"/>
      <c r="I28" s="126"/>
      <c r="J28" s="3"/>
      <c r="K28" s="3"/>
      <c r="L28" s="3"/>
      <c r="N28" s="140"/>
      <c r="O28" s="140"/>
      <c r="P28" s="140"/>
      <c r="Q28" s="140"/>
      <c r="R28" s="140"/>
      <c r="S28" s="140"/>
      <c r="T28" s="140"/>
      <c r="U28" s="140"/>
      <c r="V28" s="140"/>
      <c r="W28" s="140"/>
      <c r="X28" s="141"/>
      <c r="Y28" s="141"/>
      <c r="Z28" s="141"/>
    </row>
    <row r="29" spans="1:27" s="121" customFormat="1" ht="54.95" customHeight="1">
      <c r="A29" s="3"/>
      <c r="B29" s="3"/>
      <c r="C29" s="125"/>
      <c r="D29" s="126"/>
      <c r="E29" s="126"/>
      <c r="F29" s="126"/>
      <c r="G29" s="126"/>
      <c r="H29" s="126"/>
      <c r="I29" s="126"/>
      <c r="J29" s="3"/>
      <c r="K29" s="3"/>
      <c r="L29" s="3"/>
      <c r="M29" s="2"/>
      <c r="N29" s="140"/>
      <c r="O29" s="140"/>
      <c r="P29" s="140"/>
      <c r="Q29" s="140"/>
      <c r="R29" s="140"/>
      <c r="S29" s="140"/>
      <c r="T29" s="140"/>
      <c r="U29" s="140"/>
      <c r="V29" s="140"/>
      <c r="W29" s="140"/>
      <c r="X29" s="141"/>
      <c r="Y29" s="141"/>
      <c r="Z29" s="141"/>
      <c r="AA29" s="2"/>
    </row>
    <row r="30" spans="1:27" s="121" customFormat="1" ht="54.95" customHeight="1">
      <c r="A30" s="3"/>
      <c r="B30" s="3"/>
      <c r="C30" s="125"/>
      <c r="D30" s="126"/>
      <c r="E30" s="126"/>
      <c r="F30" s="126"/>
      <c r="G30" s="126"/>
      <c r="H30" s="126"/>
      <c r="I30" s="126"/>
      <c r="J30" s="3"/>
      <c r="K30" s="3"/>
      <c r="L30" s="3"/>
      <c r="M30" s="2"/>
      <c r="N30" s="140"/>
      <c r="O30" s="140"/>
      <c r="P30" s="140"/>
      <c r="Q30" s="140"/>
      <c r="R30" s="140"/>
      <c r="S30" s="140"/>
      <c r="T30" s="140"/>
      <c r="U30" s="140"/>
      <c r="V30" s="140"/>
      <c r="W30" s="140"/>
      <c r="X30" s="141"/>
      <c r="Y30" s="141"/>
      <c r="Z30" s="141"/>
      <c r="AA30" s="2"/>
    </row>
    <row r="31" spans="1:27" s="121" customFormat="1" ht="54.95" customHeight="1">
      <c r="A31" s="3"/>
      <c r="B31" s="3"/>
      <c r="C31" s="125"/>
      <c r="D31" s="126"/>
      <c r="E31" s="126"/>
      <c r="F31" s="126"/>
      <c r="G31" s="126"/>
      <c r="H31" s="126"/>
      <c r="I31" s="126"/>
      <c r="J31" s="3"/>
      <c r="K31" s="3"/>
      <c r="L31" s="3"/>
      <c r="M31" s="2"/>
      <c r="N31" s="140"/>
      <c r="O31" s="140"/>
      <c r="P31" s="140"/>
      <c r="Q31" s="140"/>
      <c r="R31" s="140"/>
      <c r="S31" s="140"/>
      <c r="T31" s="140"/>
      <c r="U31" s="140"/>
      <c r="V31" s="140"/>
      <c r="W31" s="140"/>
      <c r="X31" s="141"/>
      <c r="Y31" s="141"/>
      <c r="Z31" s="141"/>
      <c r="AA31" s="2"/>
    </row>
    <row r="32" spans="1:27" s="121" customFormat="1" ht="54.95" customHeight="1">
      <c r="A32" s="3"/>
      <c r="B32" s="3"/>
      <c r="C32" s="125"/>
      <c r="D32" s="126"/>
      <c r="E32" s="126"/>
      <c r="F32" s="126"/>
      <c r="G32" s="126"/>
      <c r="H32" s="126"/>
      <c r="I32" s="126"/>
      <c r="J32" s="3"/>
      <c r="K32" s="3"/>
      <c r="L32" s="3"/>
      <c r="M32" s="2"/>
      <c r="N32" s="140"/>
      <c r="O32" s="140"/>
      <c r="P32" s="140"/>
      <c r="Q32" s="140"/>
      <c r="R32" s="140"/>
      <c r="S32" s="140"/>
      <c r="T32" s="140"/>
      <c r="U32" s="140"/>
      <c r="V32" s="140"/>
      <c r="W32" s="140"/>
      <c r="X32" s="141"/>
      <c r="Y32" s="141"/>
      <c r="Z32" s="141"/>
      <c r="AA32" s="2"/>
    </row>
    <row r="33" spans="1:27" s="121" customFormat="1" ht="54.95" customHeight="1">
      <c r="A33" s="3"/>
      <c r="B33" s="3"/>
      <c r="C33" s="125"/>
      <c r="D33" s="126"/>
      <c r="E33" s="126"/>
      <c r="F33" s="126"/>
      <c r="G33" s="126"/>
      <c r="H33" s="126"/>
      <c r="I33" s="126"/>
      <c r="J33" s="3"/>
      <c r="K33" s="3"/>
      <c r="L33" s="3"/>
      <c r="M33" s="2"/>
      <c r="N33" s="140"/>
      <c r="O33" s="140"/>
      <c r="P33" s="140"/>
      <c r="Q33" s="140"/>
      <c r="R33" s="140"/>
      <c r="S33" s="140"/>
      <c r="T33" s="140"/>
      <c r="U33" s="140"/>
      <c r="V33" s="140"/>
      <c r="W33" s="140"/>
      <c r="X33" s="141"/>
      <c r="Y33" s="141"/>
      <c r="Z33" s="141"/>
      <c r="AA33" s="2"/>
    </row>
    <row r="34" spans="1:27" s="121" customFormat="1" ht="54.95" customHeight="1">
      <c r="A34" s="3"/>
      <c r="B34" s="3"/>
      <c r="C34" s="125"/>
      <c r="D34" s="126"/>
      <c r="E34" s="126"/>
      <c r="F34" s="126"/>
      <c r="G34" s="126"/>
      <c r="H34" s="126"/>
      <c r="I34" s="126"/>
      <c r="J34" s="3"/>
      <c r="K34" s="3"/>
      <c r="L34" s="3"/>
      <c r="M34" s="2"/>
      <c r="N34" s="140"/>
      <c r="O34" s="140"/>
      <c r="P34" s="140"/>
      <c r="Q34" s="140"/>
      <c r="R34" s="140"/>
      <c r="S34" s="140"/>
      <c r="T34" s="140"/>
      <c r="U34" s="140"/>
      <c r="V34" s="140"/>
      <c r="W34" s="140"/>
      <c r="X34" s="141"/>
      <c r="Y34" s="141"/>
      <c r="Z34" s="141"/>
      <c r="AA34" s="2"/>
    </row>
    <row r="35" spans="1:27" s="121" customFormat="1" ht="54.95" customHeight="1">
      <c r="A35" s="3"/>
      <c r="B35" s="3"/>
      <c r="C35" s="125"/>
      <c r="D35" s="126"/>
      <c r="E35" s="126"/>
      <c r="F35" s="126"/>
      <c r="G35" s="126"/>
      <c r="H35" s="126"/>
      <c r="I35" s="126"/>
      <c r="J35" s="3"/>
      <c r="K35" s="3"/>
      <c r="L35" s="3"/>
      <c r="M35" s="2"/>
      <c r="N35" s="140"/>
      <c r="O35" s="140"/>
      <c r="P35" s="140"/>
      <c r="Q35" s="140"/>
      <c r="R35" s="140"/>
      <c r="S35" s="140"/>
      <c r="T35" s="140"/>
      <c r="U35" s="140"/>
      <c r="V35" s="140"/>
      <c r="W35" s="140"/>
      <c r="X35" s="141"/>
      <c r="Y35" s="141"/>
      <c r="Z35" s="141"/>
      <c r="AA35" s="2"/>
    </row>
    <row r="36" spans="1:27" s="121" customFormat="1" ht="54.95" customHeight="1">
      <c r="A36" s="3"/>
      <c r="B36" s="3"/>
      <c r="C36" s="125"/>
      <c r="D36" s="126"/>
      <c r="E36" s="126"/>
      <c r="F36" s="126"/>
      <c r="G36" s="126"/>
      <c r="H36" s="126"/>
      <c r="I36" s="126"/>
      <c r="J36" s="3"/>
      <c r="K36" s="3"/>
      <c r="L36" s="3"/>
      <c r="M36" s="2"/>
      <c r="N36" s="140"/>
      <c r="O36" s="140"/>
      <c r="P36" s="140"/>
      <c r="Q36" s="140"/>
      <c r="R36" s="140"/>
      <c r="S36" s="140"/>
      <c r="T36" s="140"/>
      <c r="U36" s="140"/>
      <c r="V36" s="140"/>
      <c r="W36" s="140"/>
      <c r="X36" s="141"/>
      <c r="Y36" s="141"/>
      <c r="Z36" s="141"/>
      <c r="AA36" s="2"/>
    </row>
    <row r="37" spans="1:27" s="121" customFormat="1" ht="54.95" customHeight="1">
      <c r="A37" s="3"/>
      <c r="B37" s="3"/>
      <c r="C37" s="125"/>
      <c r="D37" s="126"/>
      <c r="E37" s="126"/>
      <c r="F37" s="126"/>
      <c r="G37" s="126"/>
      <c r="H37" s="126"/>
      <c r="I37" s="126"/>
      <c r="J37" s="3"/>
      <c r="K37" s="3"/>
      <c r="L37" s="3"/>
      <c r="M37" s="2"/>
      <c r="N37" s="140"/>
      <c r="O37" s="140"/>
      <c r="P37" s="140"/>
      <c r="Q37" s="140"/>
      <c r="R37" s="140"/>
      <c r="S37" s="140"/>
      <c r="T37" s="140"/>
      <c r="U37" s="140"/>
      <c r="V37" s="140"/>
      <c r="W37" s="140"/>
      <c r="X37" s="141"/>
      <c r="Y37" s="141"/>
      <c r="Z37" s="141"/>
      <c r="AA37" s="2"/>
    </row>
    <row r="38" spans="1:27" s="121" customFormat="1" ht="54.95" customHeight="1">
      <c r="A38" s="3"/>
      <c r="B38" s="3"/>
      <c r="C38" s="125"/>
      <c r="D38" s="126"/>
      <c r="E38" s="126"/>
      <c r="F38" s="126"/>
      <c r="G38" s="126"/>
      <c r="H38" s="126"/>
      <c r="I38" s="126"/>
      <c r="J38" s="3"/>
      <c r="K38" s="3"/>
      <c r="L38" s="3"/>
      <c r="M38" s="2"/>
      <c r="N38" s="140"/>
      <c r="O38" s="140"/>
      <c r="P38" s="140"/>
      <c r="Q38" s="140"/>
      <c r="R38" s="140"/>
      <c r="S38" s="140"/>
      <c r="T38" s="140"/>
      <c r="U38" s="140"/>
      <c r="V38" s="140"/>
      <c r="W38" s="140"/>
      <c r="X38" s="141"/>
      <c r="Y38" s="141"/>
      <c r="Z38" s="141"/>
      <c r="AA38" s="2"/>
    </row>
    <row r="39" spans="1:27" s="121" customFormat="1" ht="54.95" customHeight="1">
      <c r="A39" s="3"/>
      <c r="B39" s="3"/>
      <c r="C39" s="125"/>
      <c r="D39" s="126"/>
      <c r="E39" s="126"/>
      <c r="F39" s="126"/>
      <c r="G39" s="126"/>
      <c r="H39" s="126"/>
      <c r="I39" s="126"/>
      <c r="J39" s="3"/>
      <c r="K39" s="3"/>
      <c r="L39" s="3"/>
      <c r="M39" s="2"/>
      <c r="N39" s="140"/>
      <c r="O39" s="140"/>
      <c r="P39" s="140"/>
      <c r="Q39" s="140"/>
      <c r="R39" s="140"/>
      <c r="S39" s="140"/>
      <c r="T39" s="140"/>
      <c r="U39" s="140"/>
      <c r="V39" s="140"/>
      <c r="W39" s="140"/>
      <c r="X39" s="141"/>
      <c r="Y39" s="141"/>
      <c r="Z39" s="141"/>
      <c r="AA39" s="2"/>
    </row>
    <row r="40" spans="1:27" s="121" customFormat="1" ht="54.95" customHeight="1">
      <c r="A40" s="3"/>
      <c r="B40" s="3"/>
      <c r="C40" s="125"/>
      <c r="D40" s="126"/>
      <c r="E40" s="126"/>
      <c r="F40" s="126"/>
      <c r="G40" s="126"/>
      <c r="H40" s="126"/>
      <c r="I40" s="126"/>
      <c r="J40" s="3"/>
      <c r="K40" s="3"/>
      <c r="L40" s="3"/>
      <c r="M40" s="2"/>
      <c r="N40" s="140"/>
      <c r="O40" s="140"/>
      <c r="P40" s="140"/>
      <c r="Q40" s="140"/>
      <c r="R40" s="140"/>
      <c r="S40" s="140"/>
      <c r="T40" s="140"/>
      <c r="U40" s="140"/>
      <c r="V40" s="140"/>
      <c r="W40" s="140"/>
      <c r="X40" s="141"/>
      <c r="Y40" s="141"/>
      <c r="Z40" s="141"/>
      <c r="AA40" s="2"/>
    </row>
    <row r="41" spans="1:27" s="121" customFormat="1" ht="54.95" customHeight="1">
      <c r="A41" s="3"/>
      <c r="B41" s="3"/>
      <c r="C41" s="125"/>
      <c r="D41" s="126"/>
      <c r="E41" s="126"/>
      <c r="F41" s="126"/>
      <c r="G41" s="126"/>
      <c r="H41" s="126"/>
      <c r="I41" s="126"/>
      <c r="J41" s="3"/>
      <c r="K41" s="3"/>
      <c r="L41" s="3"/>
      <c r="M41" s="2"/>
      <c r="N41" s="140"/>
      <c r="O41" s="140"/>
      <c r="P41" s="140"/>
      <c r="Q41" s="140"/>
      <c r="R41" s="140"/>
      <c r="S41" s="140"/>
      <c r="T41" s="140"/>
      <c r="U41" s="140"/>
      <c r="V41" s="140"/>
      <c r="W41" s="140"/>
      <c r="X41" s="141"/>
      <c r="Y41" s="141"/>
      <c r="Z41" s="141"/>
      <c r="AA41" s="2"/>
    </row>
    <row r="42" spans="1:27" s="121" customFormat="1" ht="54.95" customHeight="1">
      <c r="A42" s="3"/>
      <c r="B42" s="3"/>
      <c r="C42" s="125"/>
      <c r="D42" s="126"/>
      <c r="E42" s="126"/>
      <c r="F42" s="126"/>
      <c r="G42" s="126"/>
      <c r="H42" s="126"/>
      <c r="I42" s="126"/>
      <c r="J42" s="3"/>
      <c r="K42" s="3"/>
      <c r="L42" s="3"/>
      <c r="M42" s="2"/>
      <c r="N42" s="140"/>
      <c r="O42" s="140"/>
      <c r="P42" s="140"/>
      <c r="Q42" s="140"/>
      <c r="R42" s="140"/>
      <c r="S42" s="140"/>
      <c r="T42" s="140"/>
      <c r="U42" s="140"/>
      <c r="V42" s="140"/>
      <c r="W42" s="140"/>
      <c r="X42" s="141"/>
      <c r="Y42" s="141"/>
      <c r="Z42" s="141"/>
      <c r="AA42" s="2"/>
    </row>
    <row r="43" spans="1:27" s="121" customFormat="1" ht="54.95" customHeight="1">
      <c r="A43" s="3"/>
      <c r="B43" s="3"/>
      <c r="C43" s="125"/>
      <c r="D43" s="126"/>
      <c r="E43" s="126"/>
      <c r="F43" s="126"/>
      <c r="G43" s="126"/>
      <c r="H43" s="126"/>
      <c r="I43" s="126"/>
      <c r="J43" s="3"/>
      <c r="K43" s="3"/>
      <c r="L43" s="3"/>
      <c r="M43" s="2"/>
      <c r="N43" s="140"/>
      <c r="O43" s="140"/>
      <c r="P43" s="140"/>
      <c r="Q43" s="140"/>
      <c r="R43" s="140"/>
      <c r="S43" s="140"/>
      <c r="T43" s="140"/>
      <c r="U43" s="140"/>
      <c r="V43" s="140"/>
      <c r="W43" s="140"/>
      <c r="X43" s="141"/>
      <c r="Y43" s="141"/>
      <c r="Z43" s="141"/>
      <c r="AA43" s="2"/>
    </row>
    <row r="44" spans="1:27" s="121" customFormat="1" ht="54.95" customHeight="1">
      <c r="A44" s="3"/>
      <c r="B44" s="3"/>
      <c r="C44" s="125"/>
      <c r="D44" s="126"/>
      <c r="E44" s="126"/>
      <c r="F44" s="126"/>
      <c r="G44" s="126"/>
      <c r="H44" s="126"/>
      <c r="I44" s="126"/>
      <c r="J44" s="3"/>
      <c r="K44" s="3"/>
      <c r="L44" s="3"/>
      <c r="M44" s="2"/>
      <c r="N44" s="140"/>
      <c r="O44" s="140"/>
      <c r="P44" s="140"/>
      <c r="Q44" s="140"/>
      <c r="R44" s="140"/>
      <c r="S44" s="140"/>
      <c r="T44" s="140"/>
      <c r="U44" s="140"/>
      <c r="V44" s="140"/>
      <c r="W44" s="140"/>
      <c r="X44" s="141"/>
      <c r="Y44" s="141"/>
      <c r="Z44" s="141"/>
      <c r="AA44" s="2"/>
    </row>
    <row r="45" spans="1:27" s="121" customFormat="1" ht="54.95" customHeight="1">
      <c r="A45" s="3"/>
      <c r="B45" s="3"/>
      <c r="C45" s="125"/>
      <c r="D45" s="126"/>
      <c r="E45" s="126"/>
      <c r="F45" s="126"/>
      <c r="G45" s="126"/>
      <c r="H45" s="126"/>
      <c r="I45" s="126"/>
      <c r="J45" s="3"/>
      <c r="K45" s="3"/>
      <c r="L45" s="3"/>
      <c r="M45" s="2"/>
      <c r="N45" s="140"/>
      <c r="O45" s="140"/>
      <c r="P45" s="140"/>
      <c r="Q45" s="140"/>
      <c r="R45" s="140"/>
      <c r="S45" s="140"/>
      <c r="T45" s="140"/>
      <c r="U45" s="140"/>
      <c r="V45" s="140"/>
      <c r="W45" s="140"/>
      <c r="X45" s="141"/>
      <c r="Y45" s="141"/>
      <c r="Z45" s="141"/>
      <c r="AA45" s="2"/>
    </row>
    <row r="46" spans="1:27" s="121" customFormat="1" ht="54.95" customHeight="1">
      <c r="A46" s="3"/>
      <c r="B46" s="3"/>
      <c r="C46" s="125"/>
      <c r="D46" s="126"/>
      <c r="E46" s="126"/>
      <c r="F46" s="126"/>
      <c r="G46" s="126"/>
      <c r="H46" s="126"/>
      <c r="I46" s="126"/>
      <c r="J46" s="3"/>
      <c r="K46" s="3"/>
      <c r="L46" s="3"/>
      <c r="M46" s="2"/>
      <c r="N46" s="140"/>
      <c r="O46" s="140"/>
      <c r="P46" s="140"/>
      <c r="Q46" s="140"/>
      <c r="R46" s="140"/>
      <c r="S46" s="140"/>
      <c r="T46" s="140"/>
      <c r="U46" s="140"/>
      <c r="V46" s="140"/>
      <c r="W46" s="140"/>
      <c r="X46" s="141"/>
      <c r="Y46" s="141"/>
      <c r="Z46" s="141"/>
      <c r="AA46" s="2"/>
    </row>
    <row r="47" spans="1:27" s="121" customFormat="1" ht="54.95" customHeight="1">
      <c r="A47" s="3"/>
      <c r="B47" s="3"/>
      <c r="C47" s="125"/>
      <c r="D47" s="126"/>
      <c r="E47" s="126"/>
      <c r="F47" s="126"/>
      <c r="G47" s="126"/>
      <c r="H47" s="126"/>
      <c r="I47" s="126"/>
      <c r="J47" s="3"/>
      <c r="K47" s="3"/>
      <c r="L47" s="3"/>
      <c r="M47" s="2"/>
      <c r="N47" s="140"/>
      <c r="O47" s="140"/>
      <c r="P47" s="140"/>
      <c r="Q47" s="140"/>
      <c r="R47" s="140"/>
      <c r="S47" s="140"/>
      <c r="T47" s="140"/>
      <c r="U47" s="140"/>
      <c r="V47" s="140"/>
      <c r="W47" s="140"/>
      <c r="X47" s="141"/>
      <c r="Y47" s="141"/>
      <c r="Z47" s="141"/>
      <c r="AA47" s="2"/>
    </row>
    <row r="48" spans="1:27" s="121" customFormat="1" ht="54.95" customHeight="1">
      <c r="A48" s="3"/>
      <c r="B48" s="3"/>
      <c r="C48" s="125"/>
      <c r="D48" s="126"/>
      <c r="E48" s="126"/>
      <c r="F48" s="126"/>
      <c r="G48" s="126"/>
      <c r="H48" s="126"/>
      <c r="I48" s="126"/>
      <c r="J48" s="3"/>
      <c r="K48" s="3"/>
      <c r="L48" s="3"/>
      <c r="M48" s="2"/>
      <c r="N48" s="140"/>
      <c r="O48" s="140"/>
      <c r="P48" s="140"/>
      <c r="Q48" s="140"/>
      <c r="R48" s="140"/>
      <c r="S48" s="140"/>
      <c r="T48" s="140"/>
      <c r="U48" s="140"/>
      <c r="V48" s="140"/>
      <c r="W48" s="140"/>
      <c r="X48" s="141"/>
      <c r="Y48" s="141"/>
      <c r="Z48" s="141"/>
      <c r="AA48" s="2"/>
    </row>
    <row r="49" spans="1:27" s="121" customFormat="1" ht="54.95" customHeight="1">
      <c r="A49" s="3"/>
      <c r="B49" s="3"/>
      <c r="C49" s="125"/>
      <c r="D49" s="126"/>
      <c r="E49" s="126"/>
      <c r="F49" s="126"/>
      <c r="G49" s="126"/>
      <c r="H49" s="126"/>
      <c r="I49" s="126"/>
      <c r="J49" s="3"/>
      <c r="K49" s="3"/>
      <c r="L49" s="3"/>
      <c r="M49" s="2"/>
      <c r="N49" s="140"/>
      <c r="O49" s="140"/>
      <c r="P49" s="140"/>
      <c r="Q49" s="140"/>
      <c r="R49" s="140"/>
      <c r="S49" s="140"/>
      <c r="T49" s="140"/>
      <c r="U49" s="140"/>
      <c r="V49" s="140"/>
      <c r="W49" s="140"/>
      <c r="X49" s="141"/>
      <c r="Y49" s="141"/>
      <c r="Z49" s="141"/>
      <c r="AA49" s="2"/>
    </row>
    <row r="50" spans="1:27" s="121" customFormat="1" ht="54.95" customHeight="1">
      <c r="A50" s="3"/>
      <c r="B50" s="3"/>
      <c r="C50" s="125"/>
      <c r="D50" s="126"/>
      <c r="E50" s="126"/>
      <c r="F50" s="126"/>
      <c r="G50" s="126"/>
      <c r="H50" s="126"/>
      <c r="I50" s="126"/>
      <c r="J50" s="3"/>
      <c r="K50" s="3"/>
      <c r="L50" s="3"/>
      <c r="M50" s="2"/>
      <c r="N50" s="140"/>
      <c r="O50" s="140"/>
      <c r="P50" s="140"/>
      <c r="Q50" s="140"/>
      <c r="R50" s="140"/>
      <c r="S50" s="140"/>
      <c r="T50" s="140"/>
      <c r="U50" s="140"/>
      <c r="V50" s="140"/>
      <c r="W50" s="140"/>
      <c r="X50" s="141"/>
      <c r="Y50" s="141"/>
      <c r="Z50" s="141"/>
      <c r="AA50" s="2"/>
    </row>
    <row r="51" spans="1:27" s="121" customFormat="1" ht="54.95" customHeight="1">
      <c r="A51" s="3"/>
      <c r="B51" s="3"/>
      <c r="C51" s="125"/>
      <c r="D51" s="126"/>
      <c r="E51" s="126"/>
      <c r="F51" s="126"/>
      <c r="G51" s="126"/>
      <c r="H51" s="126"/>
      <c r="I51" s="126"/>
      <c r="J51" s="3"/>
      <c r="K51" s="3"/>
      <c r="L51" s="3"/>
      <c r="M51" s="2"/>
      <c r="N51" s="140"/>
      <c r="O51" s="140"/>
      <c r="P51" s="140"/>
      <c r="Q51" s="140"/>
      <c r="R51" s="140"/>
      <c r="S51" s="140"/>
      <c r="T51" s="140"/>
      <c r="U51" s="140"/>
      <c r="V51" s="140"/>
      <c r="W51" s="140"/>
      <c r="X51" s="141"/>
      <c r="Y51" s="141"/>
      <c r="Z51" s="141"/>
      <c r="AA51" s="2"/>
    </row>
    <row r="52" spans="1:27" s="121" customFormat="1" ht="54.95" customHeight="1">
      <c r="A52" s="3"/>
      <c r="B52" s="3"/>
      <c r="C52" s="125"/>
      <c r="D52" s="126"/>
      <c r="E52" s="126"/>
      <c r="F52" s="126"/>
      <c r="G52" s="126"/>
      <c r="H52" s="126"/>
      <c r="I52" s="126"/>
      <c r="J52" s="3"/>
      <c r="K52" s="3"/>
      <c r="L52" s="3"/>
      <c r="M52" s="2"/>
      <c r="N52" s="140"/>
      <c r="O52" s="140"/>
      <c r="P52" s="140"/>
      <c r="Q52" s="140"/>
      <c r="R52" s="140"/>
      <c r="S52" s="140"/>
      <c r="T52" s="140"/>
      <c r="U52" s="140"/>
      <c r="V52" s="140"/>
      <c r="W52" s="140"/>
      <c r="X52" s="141"/>
      <c r="Y52" s="141"/>
      <c r="Z52" s="141"/>
      <c r="AA52" s="2"/>
    </row>
    <row r="53" spans="1:27" s="121" customFormat="1" ht="54.95" customHeight="1">
      <c r="A53" s="3"/>
      <c r="B53" s="3"/>
      <c r="C53" s="125"/>
      <c r="D53" s="126"/>
      <c r="E53" s="126"/>
      <c r="F53" s="126"/>
      <c r="G53" s="126"/>
      <c r="H53" s="126"/>
      <c r="I53" s="126"/>
      <c r="J53" s="3"/>
      <c r="K53" s="3"/>
      <c r="L53" s="3"/>
      <c r="M53" s="2"/>
      <c r="N53" s="140"/>
      <c r="O53" s="140"/>
      <c r="P53" s="140"/>
      <c r="Q53" s="140"/>
      <c r="R53" s="140"/>
      <c r="S53" s="140"/>
      <c r="T53" s="140"/>
      <c r="U53" s="140"/>
      <c r="V53" s="140"/>
      <c r="W53" s="140"/>
      <c r="X53" s="141"/>
      <c r="Y53" s="141"/>
      <c r="Z53" s="141"/>
      <c r="AA53" s="2"/>
    </row>
    <row r="54" spans="1:27" s="121" customFormat="1" ht="54.95" customHeight="1">
      <c r="A54" s="3"/>
      <c r="B54" s="3"/>
      <c r="C54" s="125"/>
      <c r="D54" s="126"/>
      <c r="E54" s="126"/>
      <c r="F54" s="126"/>
      <c r="G54" s="126"/>
      <c r="H54" s="126"/>
      <c r="I54" s="126"/>
      <c r="J54" s="3"/>
      <c r="K54" s="3"/>
      <c r="L54" s="3"/>
      <c r="M54" s="2"/>
      <c r="N54" s="140"/>
      <c r="O54" s="140"/>
      <c r="P54" s="140"/>
      <c r="Q54" s="140"/>
      <c r="R54" s="140"/>
      <c r="S54" s="140"/>
      <c r="T54" s="140"/>
      <c r="U54" s="140"/>
      <c r="V54" s="140"/>
      <c r="W54" s="140"/>
      <c r="X54" s="141"/>
      <c r="Y54" s="141"/>
      <c r="Z54" s="141"/>
      <c r="AA54" s="2"/>
    </row>
    <row r="55" spans="1:27" s="121" customFormat="1" ht="54.95" customHeight="1">
      <c r="A55" s="3"/>
      <c r="B55" s="3"/>
      <c r="C55" s="125"/>
      <c r="D55" s="126"/>
      <c r="E55" s="126"/>
      <c r="F55" s="126"/>
      <c r="G55" s="126"/>
      <c r="H55" s="126"/>
      <c r="I55" s="126"/>
      <c r="J55" s="3"/>
      <c r="K55" s="3"/>
      <c r="L55" s="3"/>
      <c r="M55" s="2"/>
      <c r="N55" s="140"/>
      <c r="O55" s="140"/>
      <c r="P55" s="140"/>
      <c r="Q55" s="140"/>
      <c r="R55" s="140"/>
      <c r="S55" s="140"/>
      <c r="T55" s="140"/>
      <c r="U55" s="140"/>
      <c r="V55" s="140"/>
      <c r="W55" s="140"/>
      <c r="X55" s="141"/>
      <c r="Y55" s="141"/>
      <c r="Z55" s="141"/>
      <c r="AA55" s="2"/>
    </row>
    <row r="56" spans="1:27" s="121" customFormat="1" ht="54.95" customHeight="1">
      <c r="A56" s="3"/>
      <c r="B56" s="3"/>
      <c r="C56" s="125"/>
      <c r="D56" s="126"/>
      <c r="E56" s="126"/>
      <c r="F56" s="126"/>
      <c r="G56" s="126"/>
      <c r="H56" s="126"/>
      <c r="I56" s="126"/>
      <c r="J56" s="3"/>
      <c r="K56" s="3"/>
      <c r="L56" s="3"/>
      <c r="M56" s="2"/>
      <c r="N56" s="140"/>
      <c r="O56" s="140"/>
      <c r="P56" s="140"/>
      <c r="Q56" s="140"/>
      <c r="R56" s="140"/>
      <c r="S56" s="140"/>
      <c r="T56" s="140"/>
      <c r="U56" s="140"/>
      <c r="V56" s="140"/>
      <c r="W56" s="140"/>
      <c r="X56" s="141"/>
      <c r="Y56" s="141"/>
      <c r="Z56" s="141"/>
      <c r="AA56" s="2"/>
    </row>
    <row r="57" spans="1:27" s="121" customFormat="1" ht="54.95" customHeight="1">
      <c r="A57" s="3"/>
      <c r="B57" s="3"/>
      <c r="C57" s="125"/>
      <c r="D57" s="126"/>
      <c r="E57" s="126"/>
      <c r="F57" s="126"/>
      <c r="G57" s="126"/>
      <c r="H57" s="126"/>
      <c r="I57" s="126"/>
      <c r="J57" s="3"/>
      <c r="K57" s="3"/>
      <c r="L57" s="3"/>
      <c r="M57" s="2"/>
      <c r="N57" s="140"/>
      <c r="O57" s="140"/>
      <c r="P57" s="140"/>
      <c r="Q57" s="140"/>
      <c r="R57" s="140"/>
      <c r="S57" s="140"/>
      <c r="T57" s="140"/>
      <c r="U57" s="140"/>
      <c r="V57" s="140"/>
      <c r="W57" s="140"/>
      <c r="X57" s="141"/>
      <c r="Y57" s="141"/>
      <c r="Z57" s="141"/>
      <c r="AA57" s="2"/>
    </row>
    <row r="58" spans="1:27" s="121" customFormat="1" ht="54.95" customHeight="1">
      <c r="A58" s="3"/>
      <c r="B58" s="3"/>
      <c r="C58" s="125"/>
      <c r="D58" s="126"/>
      <c r="E58" s="126"/>
      <c r="F58" s="126"/>
      <c r="G58" s="126"/>
      <c r="H58" s="126"/>
      <c r="I58" s="126"/>
      <c r="J58" s="3"/>
      <c r="K58" s="3"/>
      <c r="L58" s="3"/>
      <c r="M58" s="2"/>
      <c r="N58" s="140"/>
      <c r="O58" s="140"/>
      <c r="P58" s="140"/>
      <c r="Q58" s="140"/>
      <c r="R58" s="140"/>
      <c r="S58" s="140"/>
      <c r="T58" s="140"/>
      <c r="U58" s="140"/>
      <c r="V58" s="140"/>
      <c r="W58" s="140"/>
      <c r="X58" s="141"/>
      <c r="Y58" s="141"/>
      <c r="Z58" s="141"/>
      <c r="AA58" s="2"/>
    </row>
    <row r="59" spans="1:27" s="121" customFormat="1" ht="54.95" customHeight="1">
      <c r="A59" s="3"/>
      <c r="B59" s="3"/>
      <c r="C59" s="125"/>
      <c r="D59" s="126"/>
      <c r="E59" s="126"/>
      <c r="F59" s="126"/>
      <c r="G59" s="126"/>
      <c r="H59" s="126"/>
      <c r="I59" s="126"/>
      <c r="J59" s="3"/>
      <c r="K59" s="3"/>
      <c r="L59" s="3"/>
      <c r="M59" s="2"/>
      <c r="N59" s="140"/>
      <c r="O59" s="140"/>
      <c r="P59" s="140"/>
      <c r="Q59" s="140"/>
      <c r="R59" s="140"/>
      <c r="S59" s="140"/>
      <c r="T59" s="140"/>
      <c r="U59" s="140"/>
      <c r="V59" s="140"/>
      <c r="W59" s="140"/>
      <c r="X59" s="141"/>
      <c r="Y59" s="141"/>
      <c r="Z59" s="141"/>
      <c r="AA59" s="2"/>
    </row>
    <row r="60" spans="1:27" s="121" customFormat="1" ht="54.95" customHeight="1">
      <c r="A60" s="3"/>
      <c r="B60" s="3"/>
      <c r="C60" s="125"/>
      <c r="D60" s="126"/>
      <c r="E60" s="126"/>
      <c r="F60" s="126"/>
      <c r="G60" s="126"/>
      <c r="H60" s="126"/>
      <c r="I60" s="126"/>
      <c r="J60" s="3"/>
      <c r="K60" s="3"/>
      <c r="L60" s="3"/>
      <c r="M60" s="2"/>
      <c r="N60" s="140"/>
      <c r="O60" s="140"/>
      <c r="P60" s="140"/>
      <c r="Q60" s="140"/>
      <c r="R60" s="140"/>
      <c r="S60" s="140"/>
      <c r="T60" s="140"/>
      <c r="U60" s="140"/>
      <c r="V60" s="140"/>
      <c r="W60" s="140"/>
      <c r="X60" s="141"/>
      <c r="Y60" s="141"/>
      <c r="Z60" s="141"/>
      <c r="AA60" s="2"/>
    </row>
    <row r="61" spans="1:27" s="121" customFormat="1" ht="54.95" customHeight="1">
      <c r="A61" s="3"/>
      <c r="B61" s="3"/>
      <c r="C61" s="125"/>
      <c r="D61" s="126"/>
      <c r="E61" s="126"/>
      <c r="F61" s="126"/>
      <c r="G61" s="126"/>
      <c r="H61" s="126"/>
      <c r="I61" s="126"/>
      <c r="J61" s="3"/>
      <c r="K61" s="3"/>
      <c r="L61" s="3"/>
      <c r="M61" s="2"/>
      <c r="N61" s="140"/>
      <c r="O61" s="140"/>
      <c r="P61" s="140"/>
      <c r="Q61" s="140"/>
      <c r="R61" s="140"/>
      <c r="S61" s="140"/>
      <c r="T61" s="140"/>
      <c r="U61" s="140"/>
      <c r="V61" s="140"/>
      <c r="W61" s="140"/>
      <c r="X61" s="141"/>
      <c r="Y61" s="141"/>
      <c r="Z61" s="141"/>
      <c r="AA61" s="2"/>
    </row>
    <row r="62" spans="1:27" s="121" customFormat="1" ht="54.95" customHeight="1">
      <c r="A62" s="3"/>
      <c r="B62" s="3"/>
      <c r="C62" s="125"/>
      <c r="D62" s="126"/>
      <c r="E62" s="126"/>
      <c r="F62" s="126"/>
      <c r="G62" s="126"/>
      <c r="H62" s="126"/>
      <c r="I62" s="126"/>
      <c r="J62" s="3"/>
      <c r="K62" s="3"/>
      <c r="L62" s="3"/>
      <c r="M62" s="2"/>
      <c r="N62" s="140"/>
      <c r="O62" s="140"/>
      <c r="P62" s="140"/>
      <c r="Q62" s="140"/>
      <c r="R62" s="140"/>
      <c r="S62" s="140"/>
      <c r="T62" s="140"/>
      <c r="U62" s="140"/>
      <c r="V62" s="140"/>
      <c r="W62" s="140"/>
      <c r="X62" s="141"/>
      <c r="Y62" s="141"/>
      <c r="Z62" s="141"/>
      <c r="AA62" s="2"/>
    </row>
    <row r="63" spans="1:27" s="121" customFormat="1" ht="54.95" customHeight="1">
      <c r="A63" s="3"/>
      <c r="B63" s="3"/>
      <c r="C63" s="125"/>
      <c r="D63" s="126"/>
      <c r="E63" s="126"/>
      <c r="F63" s="126"/>
      <c r="G63" s="126"/>
      <c r="H63" s="126"/>
      <c r="I63" s="126"/>
      <c r="J63" s="3"/>
      <c r="K63" s="3"/>
      <c r="L63" s="3"/>
      <c r="M63" s="2"/>
      <c r="N63" s="140"/>
      <c r="O63" s="140"/>
      <c r="P63" s="140"/>
      <c r="Q63" s="140"/>
      <c r="R63" s="140"/>
      <c r="S63" s="140"/>
      <c r="T63" s="140"/>
      <c r="U63" s="140"/>
      <c r="V63" s="140"/>
      <c r="W63" s="140"/>
      <c r="X63" s="141"/>
      <c r="Y63" s="141"/>
      <c r="Z63" s="141"/>
      <c r="AA63" s="2"/>
    </row>
    <row r="64" spans="1:27" s="121" customFormat="1" ht="54.95" customHeight="1">
      <c r="A64" s="3"/>
      <c r="B64" s="3"/>
      <c r="C64" s="125"/>
      <c r="D64" s="126"/>
      <c r="E64" s="126"/>
      <c r="F64" s="126"/>
      <c r="G64" s="126"/>
      <c r="H64" s="126"/>
      <c r="I64" s="126"/>
      <c r="J64" s="3"/>
      <c r="K64" s="3"/>
      <c r="L64" s="3"/>
      <c r="M64" s="2"/>
      <c r="N64" s="140"/>
      <c r="O64" s="140"/>
      <c r="P64" s="140"/>
      <c r="Q64" s="140"/>
      <c r="R64" s="140"/>
      <c r="S64" s="140"/>
      <c r="T64" s="140"/>
      <c r="U64" s="140"/>
      <c r="V64" s="140"/>
      <c r="W64" s="140"/>
      <c r="X64" s="141"/>
      <c r="Y64" s="141"/>
      <c r="Z64" s="141"/>
      <c r="AA64" s="2"/>
    </row>
    <row r="65" spans="1:27" s="121" customFormat="1" ht="54.95" customHeight="1">
      <c r="A65" s="3"/>
      <c r="B65" s="3"/>
      <c r="C65" s="125"/>
      <c r="D65" s="126"/>
      <c r="E65" s="126"/>
      <c r="F65" s="126"/>
      <c r="G65" s="126"/>
      <c r="H65" s="126"/>
      <c r="I65" s="126"/>
      <c r="J65" s="3"/>
      <c r="K65" s="3"/>
      <c r="L65" s="3"/>
      <c r="M65" s="2"/>
      <c r="N65" s="140"/>
      <c r="O65" s="140"/>
      <c r="P65" s="140"/>
      <c r="Q65" s="140"/>
      <c r="R65" s="140"/>
      <c r="S65" s="140"/>
      <c r="T65" s="140"/>
      <c r="U65" s="140"/>
      <c r="V65" s="140"/>
      <c r="W65" s="140"/>
      <c r="X65" s="141"/>
      <c r="Y65" s="141"/>
      <c r="Z65" s="141"/>
      <c r="AA65" s="2"/>
    </row>
    <row r="66" spans="1:27" s="121" customFormat="1" ht="54.95" customHeight="1">
      <c r="A66" s="3"/>
      <c r="B66" s="3"/>
      <c r="C66" s="125"/>
      <c r="D66" s="126"/>
      <c r="E66" s="126"/>
      <c r="F66" s="126"/>
      <c r="G66" s="126"/>
      <c r="H66" s="126"/>
      <c r="I66" s="126"/>
      <c r="J66" s="3"/>
      <c r="K66" s="3"/>
      <c r="L66" s="3"/>
      <c r="M66" s="2"/>
      <c r="N66" s="140"/>
      <c r="O66" s="140"/>
      <c r="P66" s="140"/>
      <c r="Q66" s="140"/>
      <c r="R66" s="140"/>
      <c r="S66" s="140"/>
      <c r="T66" s="140"/>
      <c r="U66" s="140"/>
      <c r="V66" s="140"/>
      <c r="W66" s="140"/>
      <c r="X66" s="141"/>
      <c r="Y66" s="141"/>
      <c r="Z66" s="141"/>
      <c r="AA66" s="2"/>
    </row>
    <row r="67" spans="1:27" s="121" customFormat="1" ht="54.95" customHeight="1">
      <c r="A67" s="3"/>
      <c r="B67" s="3"/>
      <c r="C67" s="125"/>
      <c r="D67" s="126"/>
      <c r="E67" s="126"/>
      <c r="F67" s="126"/>
      <c r="G67" s="126"/>
      <c r="H67" s="126"/>
      <c r="I67" s="126"/>
      <c r="J67" s="3"/>
      <c r="K67" s="3"/>
      <c r="L67" s="3"/>
      <c r="M67" s="2"/>
      <c r="N67" s="140"/>
      <c r="O67" s="140"/>
      <c r="P67" s="140"/>
      <c r="Q67" s="140"/>
      <c r="R67" s="140"/>
      <c r="S67" s="140"/>
      <c r="T67" s="140"/>
      <c r="U67" s="140"/>
      <c r="V67" s="140"/>
      <c r="W67" s="140"/>
      <c r="X67" s="141"/>
      <c r="Y67" s="141"/>
      <c r="Z67" s="141"/>
      <c r="AA67" s="2"/>
    </row>
    <row r="68" spans="1:27" s="121" customFormat="1" ht="54.95" customHeight="1">
      <c r="A68" s="3"/>
      <c r="B68" s="3"/>
      <c r="C68" s="125"/>
      <c r="D68" s="126"/>
      <c r="E68" s="126"/>
      <c r="F68" s="126"/>
      <c r="G68" s="126"/>
      <c r="H68" s="126"/>
      <c r="I68" s="126"/>
      <c r="J68" s="3"/>
      <c r="K68" s="3"/>
      <c r="L68" s="3"/>
      <c r="M68" s="2"/>
      <c r="N68" s="140"/>
      <c r="O68" s="140"/>
      <c r="P68" s="140"/>
      <c r="Q68" s="140"/>
      <c r="R68" s="140"/>
      <c r="S68" s="140"/>
      <c r="T68" s="140"/>
      <c r="U68" s="140"/>
      <c r="V68" s="140"/>
      <c r="W68" s="140"/>
      <c r="X68" s="141"/>
      <c r="Y68" s="141"/>
      <c r="Z68" s="141"/>
      <c r="AA68" s="2"/>
    </row>
    <row r="69" spans="1:27" s="121" customFormat="1" ht="54.95" customHeight="1">
      <c r="A69" s="3"/>
      <c r="B69" s="3"/>
      <c r="C69" s="125"/>
      <c r="D69" s="126"/>
      <c r="E69" s="126"/>
      <c r="F69" s="126"/>
      <c r="G69" s="126"/>
      <c r="H69" s="126"/>
      <c r="I69" s="126"/>
      <c r="J69" s="3"/>
      <c r="K69" s="3"/>
      <c r="L69" s="3"/>
      <c r="M69" s="2"/>
      <c r="N69" s="140"/>
      <c r="O69" s="140"/>
      <c r="P69" s="140"/>
      <c r="Q69" s="140"/>
      <c r="R69" s="140"/>
      <c r="S69" s="140"/>
      <c r="T69" s="140"/>
      <c r="U69" s="140"/>
      <c r="V69" s="140"/>
      <c r="W69" s="140"/>
      <c r="X69" s="141"/>
      <c r="Y69" s="141"/>
      <c r="Z69" s="141"/>
      <c r="AA69" s="2"/>
    </row>
    <row r="70" spans="1:27" s="121" customFormat="1" ht="54.95" customHeight="1">
      <c r="A70" s="3"/>
      <c r="B70" s="3"/>
      <c r="C70" s="125"/>
      <c r="D70" s="126"/>
      <c r="E70" s="126"/>
      <c r="F70" s="126"/>
      <c r="G70" s="126"/>
      <c r="H70" s="126"/>
      <c r="I70" s="126"/>
      <c r="J70" s="3"/>
      <c r="K70" s="3"/>
      <c r="L70" s="3"/>
      <c r="M70" s="2"/>
      <c r="N70" s="140"/>
      <c r="O70" s="140"/>
      <c r="P70" s="140"/>
      <c r="Q70" s="140"/>
      <c r="R70" s="140"/>
      <c r="S70" s="140"/>
      <c r="T70" s="140"/>
      <c r="U70" s="140"/>
      <c r="V70" s="140"/>
      <c r="W70" s="140"/>
      <c r="X70" s="141"/>
      <c r="Y70" s="141"/>
      <c r="Z70" s="141"/>
      <c r="AA70" s="2"/>
    </row>
    <row r="71" spans="1:27" s="121" customFormat="1" ht="54.95" customHeight="1">
      <c r="A71" s="3"/>
      <c r="B71" s="3"/>
      <c r="C71" s="125"/>
      <c r="D71" s="126"/>
      <c r="E71" s="126"/>
      <c r="F71" s="126"/>
      <c r="G71" s="126"/>
      <c r="H71" s="126"/>
      <c r="I71" s="126"/>
      <c r="J71" s="3"/>
      <c r="K71" s="3"/>
      <c r="L71" s="3"/>
      <c r="M71" s="2"/>
      <c r="N71" s="140"/>
      <c r="O71" s="140"/>
      <c r="P71" s="140"/>
      <c r="Q71" s="140"/>
      <c r="R71" s="140"/>
      <c r="S71" s="140"/>
      <c r="T71" s="140"/>
      <c r="U71" s="140"/>
      <c r="V71" s="140"/>
      <c r="W71" s="140"/>
      <c r="X71" s="141"/>
      <c r="Y71" s="141"/>
      <c r="Z71" s="141"/>
      <c r="AA71" s="2"/>
    </row>
    <row r="72" spans="1:27" s="121" customFormat="1" ht="54.95" customHeight="1">
      <c r="A72" s="3"/>
      <c r="B72" s="3"/>
      <c r="C72" s="125"/>
      <c r="D72" s="126"/>
      <c r="E72" s="126"/>
      <c r="F72" s="126"/>
      <c r="G72" s="126"/>
      <c r="H72" s="126"/>
      <c r="I72" s="126"/>
      <c r="J72" s="3"/>
      <c r="K72" s="3"/>
      <c r="L72" s="3"/>
      <c r="M72" s="2"/>
      <c r="N72" s="140"/>
      <c r="O72" s="140"/>
      <c r="P72" s="140"/>
      <c r="Q72" s="140"/>
      <c r="R72" s="140"/>
      <c r="S72" s="140"/>
      <c r="T72" s="140"/>
      <c r="U72" s="140"/>
      <c r="V72" s="140"/>
      <c r="W72" s="140"/>
      <c r="X72" s="310"/>
      <c r="Y72" s="310"/>
      <c r="Z72" s="141"/>
      <c r="AA72" s="2"/>
    </row>
    <row r="73" spans="1:27" s="121" customFormat="1" ht="54.95" customHeight="1">
      <c r="A73" s="3"/>
      <c r="B73" s="3"/>
      <c r="C73" s="125"/>
      <c r="D73" s="126"/>
      <c r="E73" s="126"/>
      <c r="F73" s="126"/>
      <c r="G73" s="126"/>
      <c r="H73" s="126"/>
      <c r="I73" s="126"/>
      <c r="J73" s="3"/>
      <c r="K73" s="3"/>
      <c r="L73" s="3"/>
      <c r="M73" s="2"/>
      <c r="N73" s="140"/>
      <c r="O73" s="140"/>
      <c r="P73" s="140"/>
      <c r="Q73" s="140"/>
      <c r="R73" s="140"/>
      <c r="S73" s="140"/>
      <c r="T73" s="140"/>
      <c r="U73" s="140"/>
      <c r="V73" s="140"/>
      <c r="W73" s="140"/>
      <c r="X73" s="140"/>
      <c r="Y73" s="140"/>
      <c r="Z73" s="141"/>
      <c r="AA73" s="2"/>
    </row>
    <row r="74" spans="1:27" s="121" customFormat="1" ht="54.95" customHeight="1">
      <c r="A74" s="3"/>
      <c r="B74" s="3"/>
      <c r="C74" s="125"/>
      <c r="D74" s="126"/>
      <c r="E74" s="126"/>
      <c r="F74" s="126"/>
      <c r="G74" s="126"/>
      <c r="H74" s="126"/>
      <c r="I74" s="126"/>
      <c r="J74" s="3"/>
      <c r="K74" s="3"/>
      <c r="L74" s="3"/>
      <c r="M74" s="2"/>
      <c r="N74" s="140"/>
      <c r="O74" s="140"/>
      <c r="P74" s="140"/>
      <c r="Q74" s="140"/>
      <c r="R74" s="140"/>
      <c r="S74" s="140"/>
      <c r="T74" s="140"/>
      <c r="U74" s="140"/>
      <c r="V74" s="140"/>
      <c r="W74" s="140"/>
      <c r="X74" s="141"/>
      <c r="Y74" s="141"/>
      <c r="Z74" s="141"/>
      <c r="AA74" s="2"/>
    </row>
    <row r="75" spans="1:27" s="121" customFormat="1" ht="54.95" customHeight="1">
      <c r="A75" s="3"/>
      <c r="B75" s="3"/>
      <c r="C75" s="125"/>
      <c r="D75" s="126"/>
      <c r="E75" s="126"/>
      <c r="F75" s="126"/>
      <c r="G75" s="126"/>
      <c r="H75" s="126"/>
      <c r="I75" s="126"/>
      <c r="J75" s="3"/>
      <c r="K75" s="3"/>
      <c r="L75" s="3"/>
      <c r="M75" s="2"/>
      <c r="N75" s="140"/>
      <c r="O75" s="140"/>
      <c r="P75" s="140"/>
      <c r="Q75" s="140"/>
      <c r="R75" s="140"/>
      <c r="S75" s="140"/>
      <c r="T75" s="140"/>
      <c r="U75" s="140"/>
      <c r="V75" s="140"/>
      <c r="W75" s="140"/>
      <c r="X75" s="141"/>
      <c r="Y75" s="141"/>
      <c r="Z75" s="141"/>
      <c r="AA75" s="2"/>
    </row>
    <row r="76" spans="1:27" s="121" customFormat="1" ht="54.95" customHeight="1">
      <c r="A76" s="3"/>
      <c r="B76" s="3"/>
      <c r="C76" s="125"/>
      <c r="D76" s="126"/>
      <c r="E76" s="126"/>
      <c r="F76" s="126"/>
      <c r="G76" s="126"/>
      <c r="H76" s="126"/>
      <c r="I76" s="126"/>
      <c r="J76" s="3"/>
      <c r="K76" s="3"/>
      <c r="L76" s="3"/>
      <c r="M76" s="2"/>
      <c r="N76" s="140"/>
      <c r="O76" s="140"/>
      <c r="P76" s="140"/>
      <c r="Q76" s="140"/>
      <c r="R76" s="140"/>
      <c r="S76" s="140"/>
      <c r="T76" s="140"/>
      <c r="U76" s="140"/>
      <c r="V76" s="140"/>
      <c r="W76" s="140"/>
      <c r="X76" s="141"/>
      <c r="Y76" s="141"/>
      <c r="Z76" s="141"/>
      <c r="AA76" s="2"/>
    </row>
    <row r="77" spans="1:27" s="121" customFormat="1" ht="54.95" customHeight="1">
      <c r="A77" s="3"/>
      <c r="B77" s="3"/>
      <c r="C77" s="125"/>
      <c r="D77" s="126"/>
      <c r="E77" s="126"/>
      <c r="F77" s="126"/>
      <c r="G77" s="126"/>
      <c r="H77" s="126"/>
      <c r="I77" s="126"/>
      <c r="J77" s="3"/>
      <c r="K77" s="3"/>
      <c r="L77" s="3"/>
      <c r="M77" s="2"/>
      <c r="N77" s="140"/>
      <c r="O77" s="140"/>
      <c r="P77" s="140"/>
      <c r="Q77" s="140"/>
      <c r="R77" s="140"/>
      <c r="S77" s="140"/>
      <c r="T77" s="140"/>
      <c r="U77" s="140"/>
      <c r="V77" s="140"/>
      <c r="W77" s="140"/>
      <c r="X77" s="141"/>
      <c r="Y77" s="141"/>
      <c r="Z77" s="141"/>
      <c r="AA77" s="2"/>
    </row>
    <row r="78" spans="1:27" s="121" customFormat="1" ht="54.95" customHeight="1">
      <c r="A78" s="3"/>
      <c r="B78" s="3"/>
      <c r="C78" s="125"/>
      <c r="D78" s="126"/>
      <c r="E78" s="126"/>
      <c r="F78" s="126"/>
      <c r="G78" s="126"/>
      <c r="H78" s="126"/>
      <c r="I78" s="126"/>
      <c r="J78" s="3"/>
      <c r="K78" s="3"/>
      <c r="L78" s="3"/>
      <c r="M78" s="2"/>
      <c r="N78" s="140"/>
      <c r="O78" s="140"/>
      <c r="P78" s="140"/>
      <c r="Q78" s="140"/>
      <c r="R78" s="140"/>
      <c r="S78" s="140"/>
      <c r="T78" s="140"/>
      <c r="U78" s="140"/>
      <c r="V78" s="140"/>
      <c r="W78" s="140"/>
      <c r="X78" s="141"/>
      <c r="Y78" s="141"/>
      <c r="Z78" s="141"/>
      <c r="AA78" s="2"/>
    </row>
    <row r="79" spans="1:27" s="121" customFormat="1" ht="54.95" customHeight="1">
      <c r="A79" s="3"/>
      <c r="B79" s="3"/>
      <c r="C79" s="125"/>
      <c r="D79" s="126"/>
      <c r="E79" s="126"/>
      <c r="F79" s="126"/>
      <c r="G79" s="126"/>
      <c r="H79" s="126"/>
      <c r="I79" s="126"/>
      <c r="J79" s="3"/>
      <c r="K79" s="3"/>
      <c r="L79" s="3"/>
      <c r="M79" s="2"/>
      <c r="N79" s="140"/>
      <c r="O79" s="140"/>
      <c r="P79" s="140"/>
      <c r="Q79" s="140"/>
      <c r="R79" s="140"/>
      <c r="S79" s="140"/>
      <c r="T79" s="140"/>
      <c r="U79" s="140"/>
      <c r="V79" s="140"/>
      <c r="W79" s="140"/>
      <c r="X79" s="141"/>
      <c r="Y79" s="141"/>
      <c r="Z79" s="141"/>
      <c r="AA79" s="2"/>
    </row>
    <row r="80" spans="1:27" s="121" customFormat="1" ht="54.95" customHeight="1">
      <c r="A80" s="3"/>
      <c r="B80" s="3"/>
      <c r="C80" s="125"/>
      <c r="D80" s="126"/>
      <c r="E80" s="126"/>
      <c r="F80" s="126"/>
      <c r="G80" s="126"/>
      <c r="H80" s="126"/>
      <c r="I80" s="126"/>
      <c r="J80" s="3"/>
      <c r="K80" s="3"/>
      <c r="L80" s="3"/>
      <c r="M80" s="2"/>
      <c r="N80" s="140"/>
      <c r="O80" s="140"/>
      <c r="P80" s="140"/>
      <c r="Q80" s="140"/>
      <c r="R80" s="140"/>
      <c r="S80" s="140"/>
      <c r="T80" s="140"/>
      <c r="U80" s="140"/>
      <c r="V80" s="140"/>
      <c r="W80" s="140"/>
      <c r="X80" s="141"/>
      <c r="Y80" s="141"/>
      <c r="Z80" s="141"/>
      <c r="AA80" s="2"/>
    </row>
    <row r="81" spans="1:27" s="121" customFormat="1" ht="54.95" customHeight="1">
      <c r="A81" s="3"/>
      <c r="B81" s="3"/>
      <c r="C81" s="125"/>
      <c r="D81" s="126"/>
      <c r="E81" s="126"/>
      <c r="F81" s="126"/>
      <c r="G81" s="126"/>
      <c r="H81" s="126"/>
      <c r="I81" s="126"/>
      <c r="J81" s="3"/>
      <c r="K81" s="3"/>
      <c r="L81" s="3"/>
      <c r="M81" s="2"/>
      <c r="N81" s="140"/>
      <c r="O81" s="140"/>
      <c r="P81" s="140"/>
      <c r="Q81" s="140"/>
      <c r="R81" s="140"/>
      <c r="S81" s="140"/>
      <c r="T81" s="140"/>
      <c r="U81" s="140"/>
      <c r="V81" s="140"/>
      <c r="W81" s="140"/>
      <c r="X81" s="141"/>
      <c r="Y81" s="141"/>
      <c r="Z81" s="141"/>
      <c r="AA81" s="2"/>
    </row>
    <row r="82" spans="1:27" s="121" customFormat="1" ht="54.95" customHeight="1">
      <c r="A82" s="3"/>
      <c r="B82" s="3"/>
      <c r="C82" s="125"/>
      <c r="D82" s="126"/>
      <c r="E82" s="126"/>
      <c r="F82" s="126"/>
      <c r="G82" s="126"/>
      <c r="H82" s="126"/>
      <c r="I82" s="126"/>
      <c r="J82" s="3"/>
      <c r="K82" s="3"/>
      <c r="L82" s="3"/>
      <c r="M82" s="2"/>
      <c r="N82" s="140"/>
      <c r="O82" s="140"/>
      <c r="P82" s="140"/>
      <c r="Q82" s="140"/>
      <c r="R82" s="140"/>
      <c r="S82" s="140"/>
      <c r="T82" s="140"/>
      <c r="U82" s="140"/>
      <c r="V82" s="140"/>
      <c r="W82" s="140"/>
      <c r="X82" s="141"/>
      <c r="Y82" s="141"/>
      <c r="Z82" s="141"/>
      <c r="AA82" s="2"/>
    </row>
    <row r="83" spans="1:27" s="121" customFormat="1" ht="54.95" customHeight="1">
      <c r="A83" s="3"/>
      <c r="B83" s="3"/>
      <c r="C83" s="125"/>
      <c r="D83" s="126"/>
      <c r="E83" s="126"/>
      <c r="F83" s="126"/>
      <c r="G83" s="126"/>
      <c r="H83" s="126"/>
      <c r="I83" s="126"/>
      <c r="J83" s="3"/>
      <c r="K83" s="3"/>
      <c r="L83" s="3"/>
      <c r="M83" s="2"/>
      <c r="N83" s="140"/>
      <c r="O83" s="140"/>
      <c r="P83" s="140"/>
      <c r="Q83" s="140"/>
      <c r="R83" s="140"/>
      <c r="S83" s="140"/>
      <c r="T83" s="140"/>
      <c r="U83" s="140"/>
      <c r="V83" s="140"/>
      <c r="W83" s="140"/>
      <c r="X83" s="141"/>
      <c r="Y83" s="141"/>
      <c r="Z83" s="141"/>
      <c r="AA83" s="2"/>
    </row>
    <row r="84" spans="1:27" s="121" customFormat="1" ht="54.95" customHeight="1">
      <c r="A84" s="3"/>
      <c r="B84" s="3"/>
      <c r="C84" s="125"/>
      <c r="D84" s="126"/>
      <c r="E84" s="126"/>
      <c r="F84" s="126"/>
      <c r="G84" s="126"/>
      <c r="H84" s="126"/>
      <c r="I84" s="126"/>
      <c r="J84" s="3"/>
      <c r="K84" s="3"/>
      <c r="L84" s="3"/>
      <c r="M84" s="2"/>
      <c r="N84" s="140"/>
      <c r="O84" s="140"/>
      <c r="P84" s="140"/>
      <c r="Q84" s="140"/>
      <c r="R84" s="140"/>
      <c r="S84" s="140"/>
      <c r="T84" s="140"/>
      <c r="U84" s="140"/>
      <c r="V84" s="140"/>
      <c r="W84" s="140"/>
      <c r="X84" s="141"/>
      <c r="Y84" s="141"/>
      <c r="Z84" s="141"/>
      <c r="AA84" s="2"/>
    </row>
    <row r="85" spans="1:27" s="121" customFormat="1" ht="54.95" customHeight="1">
      <c r="A85" s="3"/>
      <c r="B85" s="3"/>
      <c r="C85" s="125"/>
      <c r="D85" s="126"/>
      <c r="E85" s="126"/>
      <c r="F85" s="126"/>
      <c r="G85" s="126"/>
      <c r="H85" s="126"/>
      <c r="I85" s="126"/>
      <c r="J85" s="3"/>
      <c r="K85" s="3"/>
      <c r="L85" s="3"/>
      <c r="M85" s="2"/>
      <c r="N85" s="140"/>
      <c r="O85" s="140"/>
      <c r="P85" s="140"/>
      <c r="Q85" s="140"/>
      <c r="R85" s="140"/>
      <c r="S85" s="140"/>
      <c r="T85" s="140"/>
      <c r="U85" s="140"/>
      <c r="V85" s="140"/>
      <c r="W85" s="140"/>
      <c r="X85" s="141"/>
      <c r="Y85" s="141"/>
      <c r="Z85" s="141"/>
      <c r="AA85" s="2"/>
    </row>
    <row r="86" spans="1:27" s="121" customFormat="1" ht="54.95" customHeight="1">
      <c r="A86" s="3"/>
      <c r="B86" s="3"/>
      <c r="C86" s="125"/>
      <c r="D86" s="126"/>
      <c r="E86" s="126"/>
      <c r="F86" s="126"/>
      <c r="G86" s="126"/>
      <c r="H86" s="126"/>
      <c r="I86" s="126"/>
      <c r="J86" s="3"/>
      <c r="K86" s="3"/>
      <c r="L86" s="3"/>
      <c r="M86" s="2"/>
      <c r="N86" s="140"/>
      <c r="O86" s="140"/>
      <c r="P86" s="140"/>
      <c r="Q86" s="140"/>
      <c r="R86" s="140"/>
      <c r="S86" s="140"/>
      <c r="T86" s="140"/>
      <c r="U86" s="140"/>
      <c r="V86" s="140"/>
      <c r="W86" s="140"/>
      <c r="X86" s="141"/>
      <c r="Y86" s="141"/>
      <c r="Z86" s="141"/>
      <c r="AA86" s="2"/>
    </row>
    <row r="87" spans="1:27" s="121" customFormat="1" ht="54.95" customHeight="1">
      <c r="A87" s="3"/>
      <c r="B87" s="3"/>
      <c r="C87" s="125"/>
      <c r="D87" s="126"/>
      <c r="E87" s="126"/>
      <c r="F87" s="126"/>
      <c r="G87" s="126"/>
      <c r="H87" s="126"/>
      <c r="I87" s="126"/>
      <c r="J87" s="3"/>
      <c r="K87" s="3"/>
      <c r="L87" s="3"/>
      <c r="M87" s="2"/>
      <c r="N87" s="140"/>
      <c r="O87" s="140"/>
      <c r="P87" s="140"/>
      <c r="Q87" s="140"/>
      <c r="R87" s="140"/>
      <c r="S87" s="140"/>
      <c r="T87" s="140"/>
      <c r="U87" s="140"/>
      <c r="V87" s="140"/>
      <c r="W87" s="140"/>
      <c r="X87" s="141"/>
      <c r="Y87" s="141"/>
      <c r="Z87" s="141"/>
      <c r="AA87" s="2"/>
    </row>
    <row r="88" spans="1:27" s="121" customFormat="1" ht="54.95" customHeight="1">
      <c r="A88" s="3"/>
      <c r="B88" s="3"/>
      <c r="C88" s="125"/>
      <c r="D88" s="126"/>
      <c r="E88" s="126"/>
      <c r="F88" s="126"/>
      <c r="G88" s="126"/>
      <c r="H88" s="126"/>
      <c r="I88" s="126"/>
      <c r="J88" s="3"/>
      <c r="K88" s="3"/>
      <c r="L88" s="3"/>
      <c r="M88" s="2"/>
      <c r="N88" s="140"/>
      <c r="O88" s="140"/>
      <c r="P88" s="140"/>
      <c r="Q88" s="140"/>
      <c r="R88" s="140"/>
      <c r="S88" s="140"/>
      <c r="T88" s="140"/>
      <c r="U88" s="140"/>
      <c r="V88" s="140"/>
      <c r="W88" s="140"/>
      <c r="X88" s="141"/>
      <c r="Y88" s="141"/>
      <c r="Z88" s="141"/>
      <c r="AA88" s="2"/>
    </row>
    <row r="89" spans="1:27" s="121" customFormat="1" ht="54.95" customHeight="1">
      <c r="A89" s="3"/>
      <c r="B89" s="3"/>
      <c r="C89" s="125"/>
      <c r="D89" s="126"/>
      <c r="E89" s="126"/>
      <c r="F89" s="126"/>
      <c r="G89" s="126"/>
      <c r="H89" s="126"/>
      <c r="I89" s="126"/>
      <c r="J89" s="3"/>
      <c r="K89" s="3"/>
      <c r="L89" s="3"/>
      <c r="M89" s="2"/>
      <c r="N89" s="140"/>
      <c r="O89" s="140"/>
      <c r="P89" s="140"/>
      <c r="Q89" s="140"/>
      <c r="R89" s="140"/>
      <c r="S89" s="140"/>
      <c r="T89" s="140"/>
      <c r="U89" s="140"/>
      <c r="V89" s="140"/>
      <c r="W89" s="140"/>
      <c r="X89" s="141"/>
      <c r="Y89" s="141"/>
      <c r="Z89" s="141"/>
      <c r="AA89" s="2"/>
    </row>
    <row r="90" spans="1:27" s="121" customFormat="1" ht="54.95" customHeight="1">
      <c r="A90" s="3"/>
      <c r="B90" s="3"/>
      <c r="C90" s="125"/>
      <c r="D90" s="126"/>
      <c r="E90" s="126"/>
      <c r="F90" s="126"/>
      <c r="G90" s="126"/>
      <c r="H90" s="126"/>
      <c r="I90" s="126"/>
      <c r="J90" s="3"/>
      <c r="K90" s="3"/>
      <c r="L90" s="3"/>
      <c r="M90" s="2"/>
      <c r="N90" s="140"/>
      <c r="O90" s="140"/>
      <c r="P90" s="140"/>
      <c r="Q90" s="140"/>
      <c r="R90" s="140"/>
      <c r="S90" s="140"/>
      <c r="T90" s="140"/>
      <c r="U90" s="140"/>
      <c r="V90" s="140"/>
      <c r="W90" s="140"/>
      <c r="X90" s="141"/>
      <c r="Y90" s="141"/>
      <c r="Z90" s="141"/>
      <c r="AA90" s="2"/>
    </row>
    <row r="91" spans="1:27" s="121" customFormat="1" ht="54.95" customHeight="1">
      <c r="A91" s="3"/>
      <c r="B91" s="3"/>
      <c r="C91" s="125"/>
      <c r="D91" s="126"/>
      <c r="E91" s="126"/>
      <c r="F91" s="126"/>
      <c r="G91" s="126"/>
      <c r="H91" s="126"/>
      <c r="I91" s="126"/>
      <c r="J91" s="3"/>
      <c r="K91" s="3"/>
      <c r="L91" s="3"/>
      <c r="M91" s="2"/>
      <c r="N91" s="140"/>
      <c r="O91" s="140"/>
      <c r="P91" s="140"/>
      <c r="Q91" s="140"/>
      <c r="R91" s="140"/>
      <c r="S91" s="140"/>
      <c r="T91" s="140"/>
      <c r="U91" s="140"/>
      <c r="V91" s="140"/>
      <c r="W91" s="140"/>
      <c r="X91" s="141"/>
      <c r="Y91" s="141"/>
      <c r="Z91" s="141"/>
      <c r="AA91" s="2"/>
    </row>
    <row r="92" spans="1:27" s="121" customFormat="1" ht="54.95" customHeight="1">
      <c r="A92" s="3"/>
      <c r="B92" s="3"/>
      <c r="C92" s="125"/>
      <c r="D92" s="126"/>
      <c r="E92" s="126"/>
      <c r="F92" s="126"/>
      <c r="G92" s="126"/>
      <c r="H92" s="126"/>
      <c r="I92" s="126"/>
      <c r="J92" s="3"/>
      <c r="K92" s="3"/>
      <c r="L92" s="3"/>
      <c r="M92" s="2"/>
      <c r="N92" s="140"/>
      <c r="O92" s="140"/>
      <c r="P92" s="140"/>
      <c r="Q92" s="140"/>
      <c r="R92" s="140"/>
      <c r="S92" s="140"/>
      <c r="T92" s="140"/>
      <c r="U92" s="140"/>
      <c r="V92" s="140"/>
      <c r="W92" s="140"/>
      <c r="X92" s="141"/>
      <c r="Y92" s="141"/>
      <c r="Z92" s="141"/>
      <c r="AA92" s="2"/>
    </row>
    <row r="93" spans="1:27" s="121" customFormat="1" ht="54.95" customHeight="1">
      <c r="A93" s="3"/>
      <c r="B93" s="3"/>
      <c r="C93" s="125"/>
      <c r="D93" s="126"/>
      <c r="E93" s="126"/>
      <c r="F93" s="126"/>
      <c r="G93" s="126"/>
      <c r="H93" s="126"/>
      <c r="I93" s="126"/>
      <c r="J93" s="3"/>
      <c r="K93" s="3"/>
      <c r="L93" s="3"/>
      <c r="M93" s="2"/>
      <c r="N93" s="140"/>
      <c r="O93" s="140"/>
      <c r="P93" s="140"/>
      <c r="Q93" s="140"/>
      <c r="R93" s="140"/>
      <c r="S93" s="140"/>
      <c r="T93" s="140"/>
      <c r="U93" s="140"/>
      <c r="V93" s="140"/>
      <c r="W93" s="140"/>
      <c r="X93" s="141"/>
      <c r="Y93" s="141"/>
      <c r="Z93" s="141"/>
      <c r="AA93" s="2"/>
    </row>
    <row r="94" spans="1:27" s="121" customFormat="1" ht="54.95" customHeight="1">
      <c r="A94" s="3"/>
      <c r="B94" s="3"/>
      <c r="C94" s="125"/>
      <c r="D94" s="126"/>
      <c r="E94" s="126"/>
      <c r="F94" s="126"/>
      <c r="G94" s="126"/>
      <c r="H94" s="126"/>
      <c r="I94" s="126"/>
      <c r="J94" s="3"/>
      <c r="K94" s="3"/>
      <c r="L94" s="3"/>
      <c r="M94" s="2"/>
      <c r="N94" s="140"/>
      <c r="O94" s="140"/>
      <c r="P94" s="140"/>
      <c r="Q94" s="140"/>
      <c r="R94" s="140"/>
      <c r="S94" s="140"/>
      <c r="T94" s="140"/>
      <c r="U94" s="140"/>
      <c r="V94" s="140"/>
      <c r="W94" s="140"/>
      <c r="X94" s="141"/>
      <c r="Y94" s="141"/>
      <c r="Z94" s="141"/>
      <c r="AA94" s="2"/>
    </row>
    <row r="95" spans="1:27" s="121" customFormat="1" ht="54.95" customHeight="1">
      <c r="A95" s="3"/>
      <c r="B95" s="3"/>
      <c r="C95" s="125"/>
      <c r="D95" s="126"/>
      <c r="E95" s="126"/>
      <c r="F95" s="126"/>
      <c r="G95" s="126"/>
      <c r="H95" s="126"/>
      <c r="I95" s="126"/>
      <c r="J95" s="3"/>
      <c r="K95" s="3"/>
      <c r="L95" s="3"/>
      <c r="M95" s="2"/>
      <c r="N95" s="140"/>
      <c r="O95" s="140"/>
      <c r="P95" s="140"/>
      <c r="Q95" s="140"/>
      <c r="R95" s="140"/>
      <c r="S95" s="140"/>
      <c r="T95" s="140"/>
      <c r="U95" s="140"/>
      <c r="V95" s="140"/>
      <c r="W95" s="140"/>
      <c r="X95" s="141"/>
      <c r="Y95" s="141"/>
      <c r="Z95" s="141"/>
      <c r="AA95" s="2"/>
    </row>
    <row r="96" spans="1:27" s="121" customFormat="1" ht="54.95" customHeight="1">
      <c r="A96" s="3"/>
      <c r="B96" s="3"/>
      <c r="C96" s="125"/>
      <c r="D96" s="126"/>
      <c r="E96" s="126"/>
      <c r="F96" s="126"/>
      <c r="G96" s="126"/>
      <c r="H96" s="126"/>
      <c r="I96" s="126"/>
      <c r="J96" s="3"/>
      <c r="K96" s="3"/>
      <c r="L96" s="3"/>
      <c r="M96" s="2"/>
      <c r="N96" s="140"/>
      <c r="O96" s="140"/>
      <c r="P96" s="140"/>
      <c r="Q96" s="140"/>
      <c r="R96" s="140"/>
      <c r="S96" s="140"/>
      <c r="T96" s="140"/>
      <c r="U96" s="140"/>
      <c r="V96" s="140"/>
      <c r="W96" s="140"/>
      <c r="X96" s="141"/>
      <c r="Y96" s="141"/>
      <c r="Z96" s="141"/>
      <c r="AA96" s="2"/>
    </row>
    <row r="97" spans="1:27" s="121" customFormat="1" ht="54.95" customHeight="1">
      <c r="A97" s="3"/>
      <c r="B97" s="3"/>
      <c r="C97" s="125"/>
      <c r="D97" s="126"/>
      <c r="E97" s="126"/>
      <c r="F97" s="126"/>
      <c r="G97" s="126"/>
      <c r="H97" s="126"/>
      <c r="I97" s="126"/>
      <c r="J97" s="3"/>
      <c r="K97" s="3"/>
      <c r="L97" s="3"/>
      <c r="M97" s="2"/>
      <c r="N97" s="140"/>
      <c r="O97" s="140"/>
      <c r="P97" s="140"/>
      <c r="Q97" s="140"/>
      <c r="R97" s="140"/>
      <c r="S97" s="140"/>
      <c r="T97" s="140"/>
      <c r="U97" s="140"/>
      <c r="V97" s="140"/>
      <c r="W97" s="140"/>
      <c r="X97" s="141"/>
      <c r="Y97" s="141"/>
      <c r="Z97" s="141"/>
      <c r="AA97" s="2"/>
    </row>
    <row r="98" spans="1:27" s="121" customFormat="1" ht="54.95" customHeight="1">
      <c r="A98" s="3"/>
      <c r="B98" s="3"/>
      <c r="C98" s="125"/>
      <c r="D98" s="126"/>
      <c r="E98" s="126"/>
      <c r="F98" s="126"/>
      <c r="G98" s="126"/>
      <c r="H98" s="126"/>
      <c r="I98" s="126"/>
      <c r="J98" s="3"/>
      <c r="K98" s="3"/>
      <c r="L98" s="3"/>
      <c r="M98" s="2"/>
      <c r="N98" s="140"/>
      <c r="O98" s="140"/>
      <c r="P98" s="140"/>
      <c r="Q98" s="140"/>
      <c r="R98" s="140"/>
      <c r="S98" s="140"/>
      <c r="T98" s="140"/>
      <c r="U98" s="140"/>
      <c r="V98" s="140"/>
      <c r="W98" s="140"/>
      <c r="X98" s="141"/>
      <c r="Y98" s="141"/>
      <c r="Z98" s="141"/>
      <c r="AA98" s="2"/>
    </row>
    <row r="99" spans="1:27" s="121" customFormat="1" ht="54.95" customHeight="1">
      <c r="A99" s="3"/>
      <c r="B99" s="3"/>
      <c r="C99" s="125"/>
      <c r="D99" s="126"/>
      <c r="E99" s="126"/>
      <c r="F99" s="126"/>
      <c r="G99" s="126"/>
      <c r="H99" s="126"/>
      <c r="I99" s="126"/>
      <c r="J99" s="3"/>
      <c r="K99" s="3"/>
      <c r="L99" s="3"/>
      <c r="M99" s="2"/>
      <c r="N99" s="140"/>
      <c r="O99" s="140"/>
      <c r="P99" s="140"/>
      <c r="Q99" s="140"/>
      <c r="R99" s="140"/>
      <c r="S99" s="140"/>
      <c r="T99" s="140"/>
      <c r="U99" s="140"/>
      <c r="V99" s="140"/>
      <c r="W99" s="140"/>
      <c r="X99" s="141"/>
      <c r="Y99" s="141"/>
      <c r="Z99" s="141"/>
      <c r="AA99" s="2"/>
    </row>
    <row r="100" spans="1:27" s="121" customFormat="1" ht="54.95" customHeight="1">
      <c r="A100" s="3"/>
      <c r="B100" s="3"/>
      <c r="C100" s="125"/>
      <c r="D100" s="126"/>
      <c r="E100" s="126"/>
      <c r="F100" s="126"/>
      <c r="G100" s="126"/>
      <c r="H100" s="126"/>
      <c r="I100" s="126"/>
      <c r="J100" s="3"/>
      <c r="K100" s="3"/>
      <c r="L100" s="3"/>
      <c r="M100" s="2"/>
      <c r="N100" s="140"/>
      <c r="O100" s="140"/>
      <c r="P100" s="140"/>
      <c r="Q100" s="140"/>
      <c r="R100" s="140"/>
      <c r="S100" s="140"/>
      <c r="T100" s="140"/>
      <c r="U100" s="140"/>
      <c r="V100" s="140"/>
      <c r="W100" s="140"/>
      <c r="X100" s="141"/>
      <c r="Y100" s="141"/>
      <c r="Z100" s="141"/>
      <c r="AA100" s="2"/>
    </row>
    <row r="101" spans="1:27" s="121" customFormat="1" ht="54.95" customHeight="1">
      <c r="A101" s="3"/>
      <c r="B101" s="3"/>
      <c r="C101" s="125"/>
      <c r="D101" s="126"/>
      <c r="E101" s="126"/>
      <c r="F101" s="126"/>
      <c r="G101" s="126"/>
      <c r="H101" s="126"/>
      <c r="I101" s="126"/>
      <c r="J101" s="3"/>
      <c r="K101" s="3"/>
      <c r="L101" s="3"/>
      <c r="M101" s="2"/>
      <c r="N101" s="140"/>
      <c r="O101" s="140"/>
      <c r="P101" s="140"/>
      <c r="Q101" s="140"/>
      <c r="R101" s="140"/>
      <c r="S101" s="140"/>
      <c r="T101" s="140"/>
      <c r="U101" s="140"/>
      <c r="V101" s="140"/>
      <c r="W101" s="140"/>
      <c r="X101" s="141"/>
      <c r="Y101" s="141"/>
      <c r="Z101" s="141"/>
      <c r="AA101" s="2"/>
    </row>
    <row r="102" spans="1:27" s="121" customFormat="1" ht="54.95" customHeight="1">
      <c r="A102" s="3"/>
      <c r="B102" s="3"/>
      <c r="C102" s="125"/>
      <c r="D102" s="126"/>
      <c r="E102" s="126"/>
      <c r="F102" s="126"/>
      <c r="G102" s="126"/>
      <c r="H102" s="126"/>
      <c r="I102" s="126"/>
      <c r="J102" s="3"/>
      <c r="K102" s="3"/>
      <c r="L102" s="3"/>
      <c r="M102" s="2"/>
      <c r="N102" s="140"/>
      <c r="O102" s="140"/>
      <c r="P102" s="140"/>
      <c r="Q102" s="140"/>
      <c r="R102" s="140"/>
      <c r="S102" s="140"/>
      <c r="T102" s="140"/>
      <c r="U102" s="140"/>
      <c r="V102" s="140"/>
      <c r="W102" s="140"/>
      <c r="X102" s="141"/>
      <c r="Y102" s="141"/>
      <c r="Z102" s="141"/>
      <c r="AA102" s="2"/>
    </row>
    <row r="103" spans="1:27" s="121" customFormat="1" ht="54.95" customHeight="1">
      <c r="A103" s="3"/>
      <c r="B103" s="3"/>
      <c r="C103" s="125"/>
      <c r="D103" s="126"/>
      <c r="E103" s="126"/>
      <c r="F103" s="126"/>
      <c r="G103" s="126"/>
      <c r="H103" s="126"/>
      <c r="I103" s="126"/>
      <c r="J103" s="3"/>
      <c r="K103" s="3"/>
      <c r="L103" s="3"/>
      <c r="M103" s="2"/>
      <c r="N103" s="140"/>
      <c r="O103" s="140"/>
      <c r="P103" s="140"/>
      <c r="Q103" s="140"/>
      <c r="R103" s="140"/>
      <c r="S103" s="140"/>
      <c r="T103" s="140"/>
      <c r="U103" s="140"/>
      <c r="V103" s="140"/>
      <c r="W103" s="140"/>
      <c r="X103" s="141"/>
      <c r="Y103" s="141"/>
      <c r="Z103" s="141"/>
      <c r="AA103" s="2"/>
    </row>
    <row r="104" spans="1:27" s="121" customFormat="1" ht="54.95" customHeight="1">
      <c r="A104" s="3"/>
      <c r="B104" s="3"/>
      <c r="C104" s="125"/>
      <c r="D104" s="126"/>
      <c r="E104" s="126"/>
      <c r="F104" s="126"/>
      <c r="G104" s="126"/>
      <c r="H104" s="126"/>
      <c r="I104" s="126"/>
      <c r="J104" s="3"/>
      <c r="K104" s="3"/>
      <c r="L104" s="3"/>
      <c r="M104" s="2"/>
      <c r="N104" s="140"/>
      <c r="O104" s="140"/>
      <c r="P104" s="140"/>
      <c r="Q104" s="140"/>
      <c r="R104" s="140"/>
      <c r="S104" s="140"/>
      <c r="T104" s="140"/>
      <c r="U104" s="140"/>
      <c r="V104" s="140"/>
      <c r="W104" s="140"/>
      <c r="X104" s="141"/>
      <c r="Y104" s="141"/>
      <c r="Z104" s="141"/>
      <c r="AA104" s="2"/>
    </row>
    <row r="105" spans="1:27" s="121" customFormat="1" ht="54.95" customHeight="1">
      <c r="A105" s="3"/>
      <c r="B105" s="3"/>
      <c r="C105" s="125"/>
      <c r="D105" s="126"/>
      <c r="E105" s="126"/>
      <c r="F105" s="126"/>
      <c r="G105" s="126"/>
      <c r="H105" s="126"/>
      <c r="I105" s="126"/>
      <c r="J105" s="3"/>
      <c r="K105" s="3"/>
      <c r="L105" s="3"/>
      <c r="M105" s="2"/>
      <c r="N105" s="140"/>
      <c r="O105" s="140"/>
      <c r="P105" s="140"/>
      <c r="Q105" s="140"/>
      <c r="R105" s="140"/>
      <c r="S105" s="140"/>
      <c r="T105" s="140"/>
      <c r="U105" s="140"/>
      <c r="V105" s="140"/>
      <c r="W105" s="140"/>
      <c r="X105" s="141"/>
      <c r="Y105" s="141"/>
      <c r="Z105" s="141"/>
      <c r="AA105" s="2"/>
    </row>
    <row r="106" spans="1:27" s="121" customFormat="1" ht="54.95" customHeight="1">
      <c r="A106" s="3"/>
      <c r="B106" s="3"/>
      <c r="C106" s="125"/>
      <c r="D106" s="126"/>
      <c r="E106" s="126"/>
      <c r="F106" s="126"/>
      <c r="G106" s="126"/>
      <c r="H106" s="126"/>
      <c r="I106" s="126"/>
      <c r="J106" s="3"/>
      <c r="K106" s="3"/>
      <c r="L106" s="3"/>
      <c r="M106" s="2"/>
      <c r="N106" s="140"/>
      <c r="O106" s="140"/>
      <c r="P106" s="140"/>
      <c r="Q106" s="140"/>
      <c r="R106" s="140"/>
      <c r="S106" s="140"/>
      <c r="T106" s="140"/>
      <c r="U106" s="140"/>
      <c r="V106" s="140"/>
      <c r="W106" s="140"/>
      <c r="X106" s="141"/>
      <c r="Y106" s="141"/>
      <c r="Z106" s="141"/>
      <c r="AA106" s="2"/>
    </row>
    <row r="107" spans="1:27" s="121" customFormat="1" ht="54.95" customHeight="1">
      <c r="A107" s="3"/>
      <c r="B107" s="3"/>
      <c r="C107" s="125"/>
      <c r="D107" s="126"/>
      <c r="E107" s="126"/>
      <c r="F107" s="126"/>
      <c r="G107" s="126"/>
      <c r="H107" s="126"/>
      <c r="I107" s="126"/>
      <c r="J107" s="3"/>
      <c r="K107" s="3"/>
      <c r="L107" s="3"/>
      <c r="M107" s="2"/>
      <c r="N107" s="140"/>
      <c r="O107" s="140"/>
      <c r="P107" s="140"/>
      <c r="Q107" s="140"/>
      <c r="R107" s="140"/>
      <c r="S107" s="140"/>
      <c r="T107" s="140"/>
      <c r="U107" s="140"/>
      <c r="V107" s="140"/>
      <c r="W107" s="140"/>
      <c r="X107" s="141"/>
      <c r="Y107" s="141"/>
      <c r="Z107" s="141"/>
      <c r="AA107" s="2"/>
    </row>
    <row r="108" spans="1:27" s="121" customFormat="1" ht="54.95" customHeight="1">
      <c r="A108" s="3"/>
      <c r="B108" s="3"/>
      <c r="C108" s="125"/>
      <c r="D108" s="126"/>
      <c r="E108" s="126"/>
      <c r="F108" s="126"/>
      <c r="G108" s="126"/>
      <c r="H108" s="126"/>
      <c r="I108" s="126"/>
      <c r="J108" s="3"/>
      <c r="K108" s="3"/>
      <c r="L108" s="3"/>
      <c r="M108" s="2"/>
      <c r="N108" s="140"/>
      <c r="O108" s="140"/>
      <c r="P108" s="140"/>
      <c r="Q108" s="140"/>
      <c r="R108" s="140"/>
      <c r="S108" s="140"/>
      <c r="T108" s="140"/>
      <c r="U108" s="140"/>
      <c r="V108" s="140"/>
      <c r="W108" s="140"/>
      <c r="X108" s="141"/>
      <c r="Y108" s="141"/>
      <c r="Z108" s="141"/>
      <c r="AA108" s="2"/>
    </row>
    <row r="109" spans="1:27" s="121" customFormat="1" ht="54.95" customHeight="1">
      <c r="A109" s="3"/>
      <c r="B109" s="3"/>
      <c r="C109" s="125"/>
      <c r="D109" s="126"/>
      <c r="E109" s="126"/>
      <c r="F109" s="126"/>
      <c r="G109" s="126"/>
      <c r="H109" s="126"/>
      <c r="I109" s="126"/>
      <c r="J109" s="3"/>
      <c r="K109" s="3"/>
      <c r="L109" s="3"/>
      <c r="M109" s="2"/>
      <c r="N109" s="140"/>
      <c r="O109" s="140"/>
      <c r="P109" s="140"/>
      <c r="Q109" s="140"/>
      <c r="R109" s="140"/>
      <c r="S109" s="140"/>
      <c r="T109" s="140"/>
      <c r="U109" s="140"/>
      <c r="V109" s="140"/>
      <c r="W109" s="140"/>
      <c r="X109" s="141"/>
      <c r="Y109" s="141"/>
      <c r="Z109" s="141"/>
      <c r="AA109" s="2"/>
    </row>
    <row r="110" spans="1:27" s="121" customFormat="1" ht="54.95" customHeight="1">
      <c r="A110" s="3"/>
      <c r="B110" s="3"/>
      <c r="C110" s="125"/>
      <c r="D110" s="126"/>
      <c r="E110" s="126"/>
      <c r="F110" s="126"/>
      <c r="G110" s="126"/>
      <c r="H110" s="126"/>
      <c r="I110" s="126"/>
      <c r="J110" s="3"/>
      <c r="K110" s="3"/>
      <c r="L110" s="3"/>
      <c r="M110" s="2"/>
      <c r="N110" s="140"/>
      <c r="O110" s="140"/>
      <c r="P110" s="140"/>
      <c r="Q110" s="140"/>
      <c r="R110" s="140"/>
      <c r="S110" s="140"/>
      <c r="T110" s="140"/>
      <c r="U110" s="140"/>
      <c r="V110" s="140"/>
      <c r="W110" s="140"/>
      <c r="X110" s="141"/>
      <c r="Y110" s="141"/>
      <c r="Z110" s="141"/>
      <c r="AA110" s="2"/>
    </row>
    <row r="111" spans="1:27" s="121" customFormat="1" ht="54.95" customHeight="1">
      <c r="A111" s="3"/>
      <c r="B111" s="3"/>
      <c r="C111" s="125"/>
      <c r="D111" s="126"/>
      <c r="E111" s="126"/>
      <c r="F111" s="126"/>
      <c r="G111" s="126"/>
      <c r="H111" s="126"/>
      <c r="I111" s="126"/>
      <c r="J111" s="3"/>
      <c r="K111" s="3"/>
      <c r="L111" s="3"/>
      <c r="M111" s="2"/>
      <c r="N111" s="140"/>
      <c r="O111" s="140"/>
      <c r="P111" s="140"/>
      <c r="Q111" s="140"/>
      <c r="R111" s="140"/>
      <c r="S111" s="140"/>
      <c r="T111" s="140"/>
      <c r="U111" s="140"/>
      <c r="V111" s="140"/>
      <c r="W111" s="140"/>
      <c r="X111" s="141"/>
      <c r="Y111" s="141"/>
      <c r="Z111" s="141"/>
      <c r="AA111" s="2"/>
    </row>
    <row r="112" spans="1:27" s="121" customFormat="1" ht="54.95" customHeight="1">
      <c r="A112" s="3"/>
      <c r="B112" s="3"/>
      <c r="C112" s="125"/>
      <c r="D112" s="126"/>
      <c r="E112" s="126"/>
      <c r="F112" s="126"/>
      <c r="G112" s="126"/>
      <c r="H112" s="126"/>
      <c r="I112" s="126"/>
      <c r="J112" s="3"/>
      <c r="K112" s="3"/>
      <c r="L112" s="3"/>
      <c r="M112" s="2"/>
      <c r="N112" s="140"/>
      <c r="O112" s="140"/>
      <c r="P112" s="140"/>
      <c r="Q112" s="140"/>
      <c r="R112" s="140"/>
      <c r="S112" s="140"/>
      <c r="T112" s="140"/>
      <c r="U112" s="140"/>
      <c r="V112" s="140"/>
      <c r="W112" s="140"/>
      <c r="X112" s="141"/>
      <c r="Y112" s="141"/>
      <c r="Z112" s="141"/>
      <c r="AA112" s="2"/>
    </row>
    <row r="113" spans="1:27" s="121" customFormat="1" ht="54.95" customHeight="1">
      <c r="A113" s="3"/>
      <c r="B113" s="3"/>
      <c r="C113" s="125"/>
      <c r="D113" s="126"/>
      <c r="E113" s="126"/>
      <c r="F113" s="126"/>
      <c r="G113" s="126"/>
      <c r="H113" s="126"/>
      <c r="I113" s="126"/>
      <c r="J113" s="3"/>
      <c r="K113" s="3"/>
      <c r="L113" s="3"/>
      <c r="M113" s="2"/>
      <c r="N113" s="140"/>
      <c r="O113" s="140"/>
      <c r="P113" s="140"/>
      <c r="Q113" s="140"/>
      <c r="R113" s="140"/>
      <c r="S113" s="140"/>
      <c r="T113" s="140"/>
      <c r="U113" s="140"/>
      <c r="V113" s="140"/>
      <c r="W113" s="140"/>
      <c r="X113" s="141"/>
      <c r="Y113" s="141"/>
      <c r="Z113" s="141"/>
      <c r="AA113" s="2"/>
    </row>
    <row r="114" spans="1:27" s="121" customFormat="1" ht="54.95" customHeight="1">
      <c r="A114" s="3"/>
      <c r="B114" s="3"/>
      <c r="C114" s="125"/>
      <c r="D114" s="126"/>
      <c r="E114" s="126"/>
      <c r="F114" s="126"/>
      <c r="G114" s="126"/>
      <c r="H114" s="126"/>
      <c r="I114" s="126"/>
      <c r="J114" s="3"/>
      <c r="K114" s="3"/>
      <c r="L114" s="3"/>
      <c r="M114" s="2"/>
      <c r="N114" s="140"/>
      <c r="O114" s="140"/>
      <c r="P114" s="140"/>
      <c r="Q114" s="140"/>
      <c r="R114" s="140"/>
      <c r="S114" s="140"/>
      <c r="T114" s="140"/>
      <c r="U114" s="140"/>
      <c r="V114" s="140"/>
      <c r="W114" s="140"/>
      <c r="X114" s="141"/>
      <c r="Y114" s="141"/>
      <c r="Z114" s="141"/>
      <c r="AA114" s="2"/>
    </row>
    <row r="115" spans="1:27" s="121" customFormat="1" ht="54.95" customHeight="1">
      <c r="A115" s="3"/>
      <c r="B115" s="3"/>
      <c r="C115" s="125"/>
      <c r="D115" s="126"/>
      <c r="E115" s="126"/>
      <c r="F115" s="126"/>
      <c r="G115" s="126"/>
      <c r="H115" s="126"/>
      <c r="I115" s="126"/>
      <c r="J115" s="3"/>
      <c r="K115" s="3"/>
      <c r="L115" s="3"/>
      <c r="M115" s="2"/>
      <c r="N115" s="140"/>
      <c r="O115" s="140"/>
      <c r="P115" s="140"/>
      <c r="Q115" s="140"/>
      <c r="R115" s="140"/>
      <c r="S115" s="140"/>
      <c r="T115" s="140"/>
      <c r="U115" s="140"/>
      <c r="V115" s="140"/>
      <c r="W115" s="140"/>
      <c r="X115" s="141"/>
      <c r="Y115" s="141"/>
      <c r="Z115" s="141"/>
      <c r="AA115" s="2"/>
    </row>
    <row r="116" spans="1:27" s="121" customFormat="1" ht="54.95" customHeight="1">
      <c r="A116" s="3"/>
      <c r="B116" s="3"/>
      <c r="C116" s="125"/>
      <c r="D116" s="126"/>
      <c r="E116" s="126"/>
      <c r="F116" s="126"/>
      <c r="G116" s="126"/>
      <c r="H116" s="126"/>
      <c r="I116" s="126"/>
      <c r="J116" s="3"/>
      <c r="K116" s="3"/>
      <c r="L116" s="3"/>
      <c r="M116" s="2"/>
      <c r="N116" s="140"/>
      <c r="O116" s="140"/>
      <c r="P116" s="140"/>
      <c r="Q116" s="140"/>
      <c r="R116" s="140"/>
      <c r="S116" s="140"/>
      <c r="T116" s="140"/>
      <c r="U116" s="140"/>
      <c r="V116" s="140"/>
      <c r="W116" s="140"/>
      <c r="X116" s="141"/>
      <c r="Y116" s="141"/>
      <c r="Z116" s="141"/>
      <c r="AA116" s="2"/>
    </row>
    <row r="117" spans="1:27" s="121" customFormat="1" ht="54.95" customHeight="1">
      <c r="A117" s="3"/>
      <c r="B117" s="3"/>
      <c r="C117" s="125"/>
      <c r="D117" s="126"/>
      <c r="E117" s="126"/>
      <c r="F117" s="126"/>
      <c r="G117" s="126"/>
      <c r="H117" s="126"/>
      <c r="I117" s="126"/>
      <c r="J117" s="3"/>
      <c r="K117" s="3"/>
      <c r="L117" s="3"/>
      <c r="M117" s="2"/>
      <c r="N117" s="140"/>
      <c r="O117" s="140"/>
      <c r="P117" s="140"/>
      <c r="Q117" s="140"/>
      <c r="R117" s="140"/>
      <c r="S117" s="140"/>
      <c r="T117" s="140"/>
      <c r="U117" s="140"/>
      <c r="V117" s="140"/>
      <c r="W117" s="140"/>
      <c r="X117" s="141"/>
      <c r="Y117" s="141"/>
      <c r="Z117" s="141"/>
      <c r="AA117" s="2"/>
    </row>
    <row r="118" spans="1:27" s="121" customFormat="1" ht="54.95" customHeight="1">
      <c r="A118" s="3"/>
      <c r="B118" s="3"/>
      <c r="C118" s="125"/>
      <c r="D118" s="126"/>
      <c r="E118" s="126"/>
      <c r="F118" s="126"/>
      <c r="G118" s="126"/>
      <c r="H118" s="126"/>
      <c r="I118" s="126"/>
      <c r="J118" s="3"/>
      <c r="K118" s="3"/>
      <c r="L118" s="3"/>
      <c r="M118" s="2"/>
      <c r="N118" s="140"/>
      <c r="O118" s="140"/>
      <c r="P118" s="140"/>
      <c r="Q118" s="140"/>
      <c r="R118" s="140"/>
      <c r="S118" s="140"/>
      <c r="T118" s="140"/>
      <c r="U118" s="140"/>
      <c r="V118" s="140"/>
      <c r="W118" s="140"/>
      <c r="X118" s="141"/>
      <c r="Y118" s="141"/>
      <c r="Z118" s="141"/>
      <c r="AA118" s="2"/>
    </row>
    <row r="119" spans="1:27" s="121" customFormat="1" ht="54.95" customHeight="1">
      <c r="A119" s="3"/>
      <c r="B119" s="3"/>
      <c r="C119" s="125"/>
      <c r="D119" s="126"/>
      <c r="E119" s="126"/>
      <c r="F119" s="126"/>
      <c r="G119" s="126"/>
      <c r="H119" s="126"/>
      <c r="I119" s="126"/>
      <c r="J119" s="3"/>
      <c r="K119" s="3"/>
      <c r="L119" s="3"/>
      <c r="M119" s="2"/>
      <c r="N119" s="140"/>
      <c r="O119" s="140"/>
      <c r="P119" s="140"/>
      <c r="Q119" s="140"/>
      <c r="R119" s="140"/>
      <c r="S119" s="140"/>
      <c r="T119" s="140"/>
      <c r="U119" s="140"/>
      <c r="V119" s="140"/>
      <c r="W119" s="140"/>
      <c r="X119" s="141"/>
      <c r="Y119" s="141"/>
      <c r="Z119" s="141"/>
      <c r="AA119" s="2"/>
    </row>
    <row r="120" spans="1:27" s="121" customFormat="1" ht="54.95" customHeight="1">
      <c r="A120" s="3"/>
      <c r="B120" s="3"/>
      <c r="C120" s="125"/>
      <c r="D120" s="126"/>
      <c r="E120" s="126"/>
      <c r="F120" s="126"/>
      <c r="G120" s="126"/>
      <c r="H120" s="126"/>
      <c r="I120" s="126"/>
      <c r="J120" s="3"/>
      <c r="K120" s="3"/>
      <c r="L120" s="3"/>
      <c r="M120" s="2"/>
      <c r="N120" s="140"/>
      <c r="O120" s="140"/>
      <c r="P120" s="140"/>
      <c r="Q120" s="140"/>
      <c r="R120" s="140"/>
      <c r="S120" s="140"/>
      <c r="T120" s="140"/>
      <c r="U120" s="140"/>
      <c r="V120" s="140"/>
      <c r="W120" s="140"/>
      <c r="X120" s="141"/>
      <c r="Y120" s="141"/>
      <c r="Z120" s="141"/>
      <c r="AA120" s="2"/>
    </row>
    <row r="121" spans="1:27" s="121" customFormat="1" ht="54.95" customHeight="1">
      <c r="A121" s="3"/>
      <c r="B121" s="3"/>
      <c r="C121" s="125"/>
      <c r="D121" s="126"/>
      <c r="E121" s="126"/>
      <c r="F121" s="126"/>
      <c r="G121" s="126"/>
      <c r="H121" s="126"/>
      <c r="I121" s="126"/>
      <c r="J121" s="3"/>
      <c r="K121" s="3"/>
      <c r="L121" s="3"/>
      <c r="M121" s="2"/>
      <c r="N121" s="140"/>
      <c r="O121" s="140"/>
      <c r="P121" s="140"/>
      <c r="Q121" s="140"/>
      <c r="R121" s="140"/>
      <c r="S121" s="140"/>
      <c r="T121" s="140"/>
      <c r="U121" s="140"/>
      <c r="V121" s="140"/>
      <c r="W121" s="140"/>
      <c r="X121" s="141"/>
      <c r="Y121" s="141"/>
      <c r="Z121" s="141"/>
      <c r="AA121" s="2"/>
    </row>
    <row r="122" spans="1:27" s="121" customFormat="1" ht="54.95" customHeight="1">
      <c r="A122" s="3"/>
      <c r="B122" s="3"/>
      <c r="C122" s="125"/>
      <c r="D122" s="126"/>
      <c r="E122" s="126"/>
      <c r="F122" s="126"/>
      <c r="G122" s="126"/>
      <c r="H122" s="126"/>
      <c r="I122" s="126"/>
      <c r="J122" s="3"/>
      <c r="K122" s="3"/>
      <c r="L122" s="3"/>
      <c r="M122" s="2"/>
      <c r="N122" s="140"/>
      <c r="O122" s="140"/>
      <c r="P122" s="140"/>
      <c r="Q122" s="140"/>
      <c r="R122" s="140"/>
      <c r="S122" s="140"/>
      <c r="T122" s="140"/>
      <c r="U122" s="140"/>
      <c r="V122" s="140"/>
      <c r="W122" s="140"/>
      <c r="X122" s="141"/>
      <c r="Y122" s="141"/>
      <c r="Z122" s="141"/>
      <c r="AA122" s="2"/>
    </row>
    <row r="123" spans="1:27" s="121" customFormat="1" ht="54.95" customHeight="1">
      <c r="A123" s="3"/>
      <c r="B123" s="3"/>
      <c r="C123" s="125"/>
      <c r="D123" s="126"/>
      <c r="E123" s="126"/>
      <c r="F123" s="126"/>
      <c r="G123" s="126"/>
      <c r="H123" s="126"/>
      <c r="I123" s="126"/>
      <c r="J123" s="3"/>
      <c r="K123" s="3"/>
      <c r="L123" s="3"/>
      <c r="M123" s="2"/>
      <c r="N123" s="140"/>
      <c r="O123" s="140"/>
      <c r="P123" s="140"/>
      <c r="Q123" s="140"/>
      <c r="R123" s="140"/>
      <c r="S123" s="140"/>
      <c r="T123" s="140"/>
      <c r="U123" s="140"/>
      <c r="V123" s="140"/>
      <c r="W123" s="140"/>
      <c r="X123" s="141"/>
      <c r="Y123" s="141"/>
      <c r="Z123" s="141"/>
      <c r="AA123" s="2"/>
    </row>
    <row r="124" spans="1:27" s="121" customFormat="1" ht="54.95" customHeight="1">
      <c r="A124" s="3"/>
      <c r="B124" s="3"/>
      <c r="C124" s="125"/>
      <c r="D124" s="126"/>
      <c r="E124" s="126"/>
      <c r="F124" s="126"/>
      <c r="G124" s="126"/>
      <c r="H124" s="126"/>
      <c r="I124" s="126"/>
      <c r="J124" s="3"/>
      <c r="K124" s="3"/>
      <c r="L124" s="3"/>
      <c r="M124" s="2"/>
      <c r="N124" s="140"/>
      <c r="O124" s="140"/>
      <c r="P124" s="140"/>
      <c r="Q124" s="140"/>
      <c r="R124" s="140"/>
      <c r="S124" s="140"/>
      <c r="T124" s="140"/>
      <c r="U124" s="140"/>
      <c r="V124" s="140"/>
      <c r="W124" s="140"/>
      <c r="X124" s="141"/>
      <c r="Y124" s="141"/>
      <c r="Z124" s="141"/>
      <c r="AA124" s="2"/>
    </row>
    <row r="125" spans="1:27" s="121" customFormat="1" ht="54.95" customHeight="1">
      <c r="A125" s="3"/>
      <c r="B125" s="3"/>
      <c r="C125" s="125"/>
      <c r="D125" s="126"/>
      <c r="E125" s="126"/>
      <c r="F125" s="126"/>
      <c r="G125" s="126"/>
      <c r="H125" s="126"/>
      <c r="I125" s="126"/>
      <c r="J125" s="3"/>
      <c r="K125" s="3"/>
      <c r="L125" s="3"/>
      <c r="M125" s="2"/>
      <c r="N125" s="140"/>
      <c r="O125" s="140"/>
      <c r="P125" s="140"/>
      <c r="Q125" s="140"/>
      <c r="R125" s="140"/>
      <c r="S125" s="140"/>
      <c r="T125" s="140"/>
      <c r="U125" s="140"/>
      <c r="V125" s="140"/>
      <c r="W125" s="140"/>
      <c r="X125" s="141"/>
      <c r="Y125" s="141"/>
      <c r="Z125" s="141"/>
      <c r="AA125" s="2"/>
    </row>
    <row r="126" spans="1:27" s="121" customFormat="1" ht="54.95" customHeight="1">
      <c r="A126" s="3"/>
      <c r="B126" s="3"/>
      <c r="C126" s="125"/>
      <c r="D126" s="126"/>
      <c r="E126" s="126"/>
      <c r="F126" s="126"/>
      <c r="G126" s="126"/>
      <c r="H126" s="126"/>
      <c r="I126" s="126"/>
      <c r="J126" s="3"/>
      <c r="K126" s="3"/>
      <c r="L126" s="3"/>
      <c r="M126" s="2"/>
      <c r="N126" s="140"/>
      <c r="O126" s="140"/>
      <c r="P126" s="140"/>
      <c r="Q126" s="140"/>
      <c r="R126" s="140"/>
      <c r="S126" s="140"/>
      <c r="T126" s="140"/>
      <c r="U126" s="140"/>
      <c r="V126" s="140"/>
      <c r="W126" s="140"/>
      <c r="X126" s="141"/>
      <c r="Y126" s="141"/>
      <c r="Z126" s="141"/>
      <c r="AA126" s="2"/>
    </row>
    <row r="127" spans="1:27" s="121" customFormat="1" ht="54.95" customHeight="1">
      <c r="A127" s="3"/>
      <c r="B127" s="3"/>
      <c r="C127" s="125"/>
      <c r="D127" s="126"/>
      <c r="E127" s="126"/>
      <c r="F127" s="126"/>
      <c r="G127" s="126"/>
      <c r="H127" s="126"/>
      <c r="I127" s="126"/>
      <c r="J127" s="3"/>
      <c r="K127" s="3"/>
      <c r="L127" s="3"/>
      <c r="M127" s="2"/>
      <c r="N127" s="140"/>
      <c r="O127" s="140"/>
      <c r="P127" s="140"/>
      <c r="Q127" s="140"/>
      <c r="R127" s="140"/>
      <c r="S127" s="140"/>
      <c r="T127" s="140"/>
      <c r="U127" s="140"/>
      <c r="V127" s="140"/>
      <c r="W127" s="140"/>
      <c r="X127" s="141"/>
      <c r="Y127" s="141"/>
      <c r="Z127" s="141"/>
      <c r="AA127" s="2"/>
    </row>
    <row r="128" spans="1:27" s="121" customFormat="1" ht="54.95" customHeight="1">
      <c r="A128" s="3"/>
      <c r="B128" s="3"/>
      <c r="C128" s="125"/>
      <c r="D128" s="126"/>
      <c r="E128" s="126"/>
      <c r="F128" s="126"/>
      <c r="G128" s="126"/>
      <c r="H128" s="126"/>
      <c r="I128" s="126"/>
      <c r="J128" s="3"/>
      <c r="K128" s="3"/>
      <c r="L128" s="3"/>
      <c r="M128" s="2"/>
      <c r="N128" s="140"/>
      <c r="O128" s="140"/>
      <c r="P128" s="140"/>
      <c r="Q128" s="140"/>
      <c r="R128" s="140"/>
      <c r="S128" s="140"/>
      <c r="T128" s="140"/>
      <c r="U128" s="140"/>
      <c r="V128" s="140"/>
      <c r="W128" s="140"/>
      <c r="X128" s="141"/>
      <c r="Y128" s="141"/>
      <c r="Z128" s="141"/>
      <c r="AA128" s="2"/>
    </row>
    <row r="129" spans="1:27" s="121" customFormat="1" ht="54.95" customHeight="1">
      <c r="A129" s="3"/>
      <c r="B129" s="3"/>
      <c r="C129" s="125"/>
      <c r="D129" s="126"/>
      <c r="E129" s="126"/>
      <c r="F129" s="126"/>
      <c r="G129" s="126"/>
      <c r="H129" s="126"/>
      <c r="I129" s="126"/>
      <c r="J129" s="3"/>
      <c r="K129" s="3"/>
      <c r="L129" s="3"/>
      <c r="M129" s="2"/>
      <c r="N129" s="140"/>
      <c r="O129" s="140"/>
      <c r="P129" s="140"/>
      <c r="Q129" s="140"/>
      <c r="R129" s="140"/>
      <c r="S129" s="140"/>
      <c r="T129" s="140"/>
      <c r="U129" s="140"/>
      <c r="V129" s="140"/>
      <c r="W129" s="140"/>
      <c r="X129" s="141"/>
      <c r="Y129" s="141"/>
      <c r="Z129" s="141"/>
      <c r="AA129" s="2"/>
    </row>
    <row r="130" spans="1:27" s="121" customFormat="1" ht="54.95" customHeight="1">
      <c r="A130" s="3"/>
      <c r="B130" s="3"/>
      <c r="C130" s="125"/>
      <c r="D130" s="126"/>
      <c r="E130" s="126"/>
      <c r="F130" s="126"/>
      <c r="G130" s="126"/>
      <c r="H130" s="126"/>
      <c r="I130" s="126"/>
      <c r="J130" s="3"/>
      <c r="K130" s="3"/>
      <c r="L130" s="3"/>
      <c r="M130" s="2"/>
      <c r="N130" s="140"/>
      <c r="O130" s="140"/>
      <c r="P130" s="140"/>
      <c r="Q130" s="140"/>
      <c r="R130" s="140"/>
      <c r="S130" s="140"/>
      <c r="T130" s="140"/>
      <c r="U130" s="140"/>
      <c r="V130" s="140"/>
      <c r="W130" s="140"/>
      <c r="X130" s="141"/>
      <c r="Y130" s="141"/>
      <c r="Z130" s="141"/>
      <c r="AA130" s="2"/>
    </row>
    <row r="131" spans="1:27" s="121" customFormat="1" ht="54.95" customHeight="1">
      <c r="A131" s="3"/>
      <c r="B131" s="3"/>
      <c r="C131" s="125"/>
      <c r="D131" s="126"/>
      <c r="E131" s="126"/>
      <c r="F131" s="126"/>
      <c r="G131" s="126"/>
      <c r="H131" s="126"/>
      <c r="I131" s="126"/>
      <c r="J131" s="3"/>
      <c r="K131" s="3"/>
      <c r="L131" s="3"/>
      <c r="M131" s="2"/>
      <c r="N131" s="140"/>
      <c r="O131" s="140"/>
      <c r="P131" s="140"/>
      <c r="Q131" s="140"/>
      <c r="R131" s="140"/>
      <c r="S131" s="140"/>
      <c r="T131" s="140"/>
      <c r="U131" s="140"/>
      <c r="V131" s="140"/>
      <c r="W131" s="140"/>
      <c r="X131" s="141"/>
      <c r="Y131" s="141"/>
      <c r="Z131" s="141"/>
      <c r="AA131" s="2"/>
    </row>
    <row r="132" spans="1:27" s="121" customFormat="1" ht="54.95" customHeight="1">
      <c r="A132" s="3"/>
      <c r="B132" s="3"/>
      <c r="C132" s="125"/>
      <c r="D132" s="126"/>
      <c r="E132" s="126"/>
      <c r="F132" s="126"/>
      <c r="G132" s="126"/>
      <c r="H132" s="126"/>
      <c r="I132" s="126"/>
      <c r="J132" s="3"/>
      <c r="K132" s="3"/>
      <c r="L132" s="3"/>
      <c r="M132" s="2"/>
      <c r="N132" s="140"/>
      <c r="O132" s="140"/>
      <c r="P132" s="140"/>
      <c r="Q132" s="140"/>
      <c r="R132" s="140"/>
      <c r="S132" s="140"/>
      <c r="T132" s="140"/>
      <c r="U132" s="140"/>
      <c r="V132" s="140"/>
      <c r="W132" s="140"/>
      <c r="X132" s="141"/>
      <c r="Y132" s="141"/>
      <c r="Z132" s="141"/>
      <c r="AA132" s="2"/>
    </row>
    <row r="133" spans="1:27" s="121" customFormat="1" ht="54.95" customHeight="1">
      <c r="A133" s="3"/>
      <c r="B133" s="3"/>
      <c r="C133" s="125"/>
      <c r="D133" s="126"/>
      <c r="E133" s="126"/>
      <c r="F133" s="126"/>
      <c r="G133" s="126"/>
      <c r="H133" s="126"/>
      <c r="I133" s="126"/>
      <c r="J133" s="3"/>
      <c r="K133" s="3"/>
      <c r="L133" s="3"/>
      <c r="M133" s="2"/>
      <c r="N133" s="140"/>
      <c r="O133" s="140"/>
      <c r="P133" s="140"/>
      <c r="Q133" s="140"/>
      <c r="R133" s="140"/>
      <c r="S133" s="140"/>
      <c r="T133" s="140"/>
      <c r="U133" s="140"/>
      <c r="V133" s="140"/>
      <c r="W133" s="140"/>
      <c r="X133" s="141"/>
      <c r="Y133" s="141"/>
      <c r="Z133" s="141"/>
      <c r="AA133" s="2"/>
    </row>
    <row r="134" spans="1:27" s="121" customFormat="1" ht="54.95" customHeight="1">
      <c r="A134" s="3"/>
      <c r="B134" s="3"/>
      <c r="C134" s="125"/>
      <c r="D134" s="126"/>
      <c r="E134" s="126"/>
      <c r="F134" s="126"/>
      <c r="G134" s="126"/>
      <c r="H134" s="126"/>
      <c r="I134" s="126"/>
      <c r="J134" s="3"/>
      <c r="K134" s="3"/>
      <c r="L134" s="3"/>
      <c r="M134" s="2"/>
      <c r="N134" s="140"/>
      <c r="O134" s="140"/>
      <c r="P134" s="140"/>
      <c r="Q134" s="140"/>
      <c r="R134" s="140"/>
      <c r="S134" s="140"/>
      <c r="T134" s="140"/>
      <c r="U134" s="140"/>
      <c r="V134" s="140"/>
      <c r="W134" s="140"/>
      <c r="X134" s="141"/>
      <c r="Y134" s="141"/>
      <c r="Z134" s="141"/>
      <c r="AA134" s="2"/>
    </row>
    <row r="135" spans="1:27" s="121" customFormat="1" ht="54.95" customHeight="1">
      <c r="A135" s="3"/>
      <c r="B135" s="3"/>
      <c r="C135" s="125"/>
      <c r="D135" s="126"/>
      <c r="E135" s="126"/>
      <c r="F135" s="126"/>
      <c r="G135" s="126"/>
      <c r="H135" s="126"/>
      <c r="I135" s="126"/>
      <c r="J135" s="3"/>
      <c r="K135" s="3"/>
      <c r="L135" s="3"/>
      <c r="M135" s="2"/>
      <c r="N135" s="140"/>
      <c r="O135" s="140"/>
      <c r="P135" s="140"/>
      <c r="Q135" s="140"/>
      <c r="R135" s="140"/>
      <c r="S135" s="140"/>
      <c r="T135" s="140"/>
      <c r="U135" s="140"/>
      <c r="V135" s="140"/>
      <c r="W135" s="140"/>
      <c r="X135" s="141"/>
      <c r="Y135" s="141"/>
      <c r="Z135" s="141"/>
      <c r="AA135" s="2"/>
    </row>
    <row r="136" spans="1:27" s="121" customFormat="1" ht="54.95" customHeight="1">
      <c r="A136" s="3"/>
      <c r="B136" s="3"/>
      <c r="C136" s="125"/>
      <c r="D136" s="126"/>
      <c r="E136" s="126"/>
      <c r="F136" s="126"/>
      <c r="G136" s="126"/>
      <c r="H136" s="126"/>
      <c r="I136" s="126"/>
      <c r="J136" s="3"/>
      <c r="K136" s="3"/>
      <c r="L136" s="3"/>
      <c r="M136" s="2"/>
      <c r="N136" s="140"/>
      <c r="O136" s="140"/>
      <c r="P136" s="140"/>
      <c r="Q136" s="140"/>
      <c r="R136" s="140"/>
      <c r="S136" s="140"/>
      <c r="T136" s="140"/>
      <c r="U136" s="140"/>
      <c r="V136" s="140"/>
      <c r="W136" s="140"/>
      <c r="X136" s="141"/>
      <c r="Y136" s="141"/>
      <c r="Z136" s="141"/>
      <c r="AA136" s="2"/>
    </row>
    <row r="137" spans="1:27" s="121" customFormat="1" ht="54.95" customHeight="1">
      <c r="A137" s="3"/>
      <c r="B137" s="3"/>
      <c r="C137" s="125"/>
      <c r="D137" s="126"/>
      <c r="E137" s="126"/>
      <c r="F137" s="126"/>
      <c r="G137" s="126"/>
      <c r="H137" s="126"/>
      <c r="I137" s="126"/>
      <c r="J137" s="3"/>
      <c r="K137" s="3"/>
      <c r="L137" s="3"/>
      <c r="M137" s="2"/>
      <c r="N137" s="140"/>
      <c r="O137" s="140"/>
      <c r="P137" s="140"/>
      <c r="Q137" s="140"/>
      <c r="R137" s="140"/>
      <c r="S137" s="140"/>
      <c r="T137" s="140"/>
      <c r="U137" s="140"/>
      <c r="V137" s="140"/>
      <c r="W137" s="140"/>
      <c r="X137" s="141"/>
      <c r="Y137" s="141"/>
      <c r="Z137" s="141"/>
      <c r="AA137" s="2"/>
    </row>
    <row r="138" spans="1:27" s="121" customFormat="1" ht="54.95" customHeight="1">
      <c r="A138" s="3"/>
      <c r="B138" s="3"/>
      <c r="C138" s="125"/>
      <c r="D138" s="126"/>
      <c r="E138" s="126"/>
      <c r="F138" s="126"/>
      <c r="G138" s="126"/>
      <c r="H138" s="126"/>
      <c r="I138" s="126"/>
      <c r="J138" s="3"/>
      <c r="K138" s="3"/>
      <c r="L138" s="3"/>
      <c r="M138" s="2"/>
      <c r="N138" s="140"/>
      <c r="O138" s="140"/>
      <c r="P138" s="140"/>
      <c r="Q138" s="140"/>
      <c r="R138" s="140"/>
      <c r="S138" s="140"/>
      <c r="T138" s="140"/>
      <c r="U138" s="140"/>
      <c r="V138" s="140"/>
      <c r="W138" s="140"/>
      <c r="X138" s="141"/>
      <c r="Y138" s="141"/>
      <c r="Z138" s="141"/>
      <c r="AA138" s="2"/>
    </row>
    <row r="139" spans="1:27" s="121" customFormat="1" ht="54.95" customHeight="1">
      <c r="A139" s="3"/>
      <c r="B139" s="3"/>
      <c r="C139" s="125"/>
      <c r="D139" s="126"/>
      <c r="E139" s="126"/>
      <c r="F139" s="126"/>
      <c r="G139" s="126"/>
      <c r="H139" s="126"/>
      <c r="I139" s="126"/>
      <c r="J139" s="3"/>
      <c r="K139" s="3"/>
      <c r="L139" s="3"/>
      <c r="M139" s="2"/>
      <c r="N139" s="140"/>
      <c r="O139" s="140"/>
      <c r="P139" s="140"/>
      <c r="Q139" s="140"/>
      <c r="R139" s="140"/>
      <c r="S139" s="140"/>
      <c r="T139" s="140"/>
      <c r="U139" s="140"/>
      <c r="V139" s="140"/>
      <c r="W139" s="140"/>
      <c r="X139" s="141"/>
      <c r="Y139" s="141"/>
      <c r="Z139" s="141"/>
      <c r="AA139" s="2"/>
    </row>
    <row r="140" spans="1:27" s="121" customFormat="1" ht="54.95" customHeight="1">
      <c r="A140" s="3"/>
      <c r="B140" s="3"/>
      <c r="C140" s="125"/>
      <c r="D140" s="126"/>
      <c r="E140" s="126"/>
      <c r="F140" s="126"/>
      <c r="G140" s="126"/>
      <c r="H140" s="126"/>
      <c r="I140" s="126"/>
      <c r="J140" s="3"/>
      <c r="K140" s="3"/>
      <c r="L140" s="3"/>
      <c r="M140" s="2"/>
      <c r="N140" s="140"/>
      <c r="O140" s="140"/>
      <c r="P140" s="140"/>
      <c r="Q140" s="140"/>
      <c r="R140" s="140"/>
      <c r="S140" s="140"/>
      <c r="T140" s="140"/>
      <c r="U140" s="140"/>
      <c r="V140" s="140"/>
      <c r="W140" s="140"/>
      <c r="X140" s="141"/>
      <c r="Y140" s="141"/>
      <c r="Z140" s="141"/>
      <c r="AA140" s="2"/>
    </row>
    <row r="141" spans="1:27" s="121" customFormat="1" ht="54.95" customHeight="1">
      <c r="A141" s="3"/>
      <c r="B141" s="3"/>
      <c r="C141" s="125"/>
      <c r="D141" s="126"/>
      <c r="E141" s="126"/>
      <c r="F141" s="126"/>
      <c r="G141" s="126"/>
      <c r="H141" s="126"/>
      <c r="I141" s="126"/>
      <c r="J141" s="3"/>
      <c r="K141" s="3"/>
      <c r="L141" s="3"/>
      <c r="M141" s="2"/>
      <c r="N141" s="140"/>
      <c r="O141" s="140"/>
      <c r="P141" s="140"/>
      <c r="Q141" s="140"/>
      <c r="R141" s="140"/>
      <c r="S141" s="140"/>
      <c r="T141" s="140"/>
      <c r="U141" s="140"/>
      <c r="V141" s="140"/>
      <c r="W141" s="140"/>
      <c r="X141" s="141"/>
      <c r="Y141" s="141"/>
      <c r="Z141" s="141"/>
      <c r="AA141" s="2"/>
    </row>
    <row r="142" spans="1:27" s="121" customFormat="1" ht="54.95" customHeight="1">
      <c r="A142" s="3"/>
      <c r="B142" s="3"/>
      <c r="C142" s="125"/>
      <c r="D142" s="126"/>
      <c r="E142" s="126"/>
      <c r="F142" s="126"/>
      <c r="G142" s="126"/>
      <c r="H142" s="126"/>
      <c r="I142" s="126"/>
      <c r="J142" s="3"/>
      <c r="K142" s="3"/>
      <c r="L142" s="3"/>
      <c r="M142" s="2"/>
      <c r="N142" s="140"/>
      <c r="O142" s="140"/>
      <c r="P142" s="140"/>
      <c r="Q142" s="140"/>
      <c r="R142" s="140"/>
      <c r="S142" s="140"/>
      <c r="T142" s="140"/>
      <c r="U142" s="140"/>
      <c r="V142" s="140"/>
      <c r="W142" s="140"/>
      <c r="X142" s="141"/>
      <c r="Y142" s="141"/>
      <c r="Z142" s="141"/>
      <c r="AA142" s="2"/>
    </row>
    <row r="143" spans="1:27" s="121" customFormat="1" ht="54.95" customHeight="1">
      <c r="A143" s="3"/>
      <c r="B143" s="3"/>
      <c r="C143" s="125"/>
      <c r="D143" s="126"/>
      <c r="E143" s="126"/>
      <c r="F143" s="126"/>
      <c r="G143" s="126"/>
      <c r="H143" s="126"/>
      <c r="I143" s="126"/>
      <c r="J143" s="3"/>
      <c r="K143" s="3"/>
      <c r="L143" s="3"/>
      <c r="M143" s="2"/>
      <c r="N143" s="140"/>
      <c r="O143" s="140"/>
      <c r="P143" s="140"/>
      <c r="Q143" s="140"/>
      <c r="R143" s="140"/>
      <c r="S143" s="140"/>
      <c r="T143" s="140"/>
      <c r="U143" s="140"/>
      <c r="V143" s="140"/>
      <c r="W143" s="140"/>
      <c r="X143" s="141"/>
      <c r="Y143" s="141"/>
      <c r="Z143" s="141"/>
      <c r="AA143" s="2"/>
    </row>
    <row r="144" spans="1:27" s="121" customFormat="1" ht="54.95" customHeight="1">
      <c r="A144" s="3"/>
      <c r="B144" s="3"/>
      <c r="C144" s="125"/>
      <c r="D144" s="126"/>
      <c r="E144" s="126"/>
      <c r="F144" s="126"/>
      <c r="G144" s="126"/>
      <c r="H144" s="126"/>
      <c r="I144" s="126"/>
      <c r="J144" s="3"/>
      <c r="K144" s="3"/>
      <c r="L144" s="3"/>
      <c r="M144" s="2"/>
      <c r="N144" s="140"/>
      <c r="O144" s="140"/>
      <c r="P144" s="140"/>
      <c r="Q144" s="140"/>
      <c r="R144" s="140"/>
      <c r="S144" s="140"/>
      <c r="T144" s="140"/>
      <c r="U144" s="140"/>
      <c r="V144" s="140"/>
      <c r="W144" s="140"/>
      <c r="X144" s="141"/>
      <c r="Y144" s="141"/>
      <c r="Z144" s="141"/>
      <c r="AA144" s="2"/>
    </row>
    <row r="145" spans="1:27" s="121" customFormat="1" ht="54.95" customHeight="1">
      <c r="A145" s="3"/>
      <c r="B145" s="3"/>
      <c r="C145" s="125"/>
      <c r="D145" s="126"/>
      <c r="E145" s="126"/>
      <c r="F145" s="126"/>
      <c r="G145" s="126"/>
      <c r="H145" s="126"/>
      <c r="I145" s="126"/>
      <c r="J145" s="3"/>
      <c r="K145" s="3"/>
      <c r="L145" s="3"/>
      <c r="M145" s="2"/>
      <c r="N145" s="140"/>
      <c r="O145" s="140"/>
      <c r="P145" s="140"/>
      <c r="Q145" s="140"/>
      <c r="R145" s="140"/>
      <c r="S145" s="140"/>
      <c r="T145" s="140"/>
      <c r="U145" s="140"/>
      <c r="V145" s="140"/>
      <c r="W145" s="140"/>
      <c r="X145" s="141"/>
      <c r="Y145" s="141"/>
      <c r="Z145" s="141"/>
      <c r="AA145" s="2"/>
    </row>
    <row r="146" spans="1:27" s="121" customFormat="1" ht="54.95" customHeight="1">
      <c r="A146" s="3"/>
      <c r="B146" s="3"/>
      <c r="C146" s="125"/>
      <c r="D146" s="126"/>
      <c r="E146" s="126"/>
      <c r="F146" s="126"/>
      <c r="G146" s="126"/>
      <c r="H146" s="126"/>
      <c r="I146" s="126"/>
      <c r="J146" s="3"/>
      <c r="K146" s="3"/>
      <c r="L146" s="3"/>
      <c r="M146" s="2"/>
      <c r="N146" s="140"/>
      <c r="O146" s="140"/>
      <c r="P146" s="140"/>
      <c r="Q146" s="140"/>
      <c r="R146" s="140"/>
      <c r="S146" s="140"/>
      <c r="T146" s="140"/>
      <c r="U146" s="140"/>
      <c r="V146" s="140"/>
      <c r="W146" s="140"/>
      <c r="X146" s="141"/>
      <c r="Y146" s="141"/>
      <c r="Z146" s="141"/>
      <c r="AA146" s="2"/>
    </row>
    <row r="147" spans="1:27" s="121" customFormat="1" ht="54.95" customHeight="1">
      <c r="A147" s="3"/>
      <c r="B147" s="3"/>
      <c r="C147" s="125"/>
      <c r="D147" s="126"/>
      <c r="E147" s="126"/>
      <c r="F147" s="126"/>
      <c r="G147" s="126"/>
      <c r="H147" s="126"/>
      <c r="I147" s="126"/>
      <c r="J147" s="3"/>
      <c r="K147" s="3"/>
      <c r="L147" s="3"/>
      <c r="M147" s="2"/>
      <c r="N147" s="140"/>
      <c r="O147" s="140"/>
      <c r="P147" s="140"/>
      <c r="Q147" s="140"/>
      <c r="R147" s="140"/>
      <c r="S147" s="140"/>
      <c r="T147" s="140"/>
      <c r="U147" s="140"/>
      <c r="V147" s="140"/>
      <c r="W147" s="140"/>
      <c r="X147" s="141"/>
      <c r="Y147" s="141"/>
      <c r="Z147" s="141"/>
      <c r="AA147" s="2"/>
    </row>
    <row r="148" spans="1:27" s="121" customFormat="1" ht="54.95" customHeight="1">
      <c r="A148" s="3"/>
      <c r="B148" s="3"/>
      <c r="C148" s="125"/>
      <c r="D148" s="126"/>
      <c r="E148" s="126"/>
      <c r="F148" s="126"/>
      <c r="G148" s="126"/>
      <c r="H148" s="126"/>
      <c r="I148" s="126"/>
      <c r="J148" s="3"/>
      <c r="K148" s="3"/>
      <c r="L148" s="3"/>
      <c r="M148" s="2"/>
      <c r="N148" s="140"/>
      <c r="O148" s="140"/>
      <c r="P148" s="140"/>
      <c r="Q148" s="140"/>
      <c r="R148" s="140"/>
      <c r="S148" s="140"/>
      <c r="T148" s="140"/>
      <c r="U148" s="140"/>
      <c r="V148" s="140"/>
      <c r="W148" s="140"/>
      <c r="X148" s="141"/>
      <c r="Y148" s="141"/>
      <c r="Z148" s="141"/>
      <c r="AA148" s="2"/>
    </row>
    <row r="149" spans="1:27" s="121" customFormat="1" ht="54.95" customHeight="1">
      <c r="A149" s="3"/>
      <c r="B149" s="3"/>
      <c r="C149" s="125"/>
      <c r="D149" s="126"/>
      <c r="E149" s="126"/>
      <c r="F149" s="126"/>
      <c r="G149" s="126"/>
      <c r="H149" s="126"/>
      <c r="I149" s="126"/>
      <c r="J149" s="3"/>
      <c r="K149" s="3"/>
      <c r="L149" s="3"/>
      <c r="M149" s="2"/>
      <c r="N149" s="140"/>
      <c r="O149" s="140"/>
      <c r="P149" s="140"/>
      <c r="Q149" s="140"/>
      <c r="R149" s="140"/>
      <c r="S149" s="140"/>
      <c r="T149" s="140"/>
      <c r="U149" s="140"/>
      <c r="V149" s="140"/>
      <c r="W149" s="140"/>
      <c r="X149" s="141"/>
      <c r="Y149" s="141"/>
      <c r="Z149" s="141"/>
      <c r="AA149" s="2"/>
    </row>
    <row r="150" spans="1:27" s="121" customFormat="1" ht="54.95" customHeight="1">
      <c r="A150" s="3"/>
      <c r="B150" s="3"/>
      <c r="C150" s="125"/>
      <c r="D150" s="126"/>
      <c r="E150" s="126"/>
      <c r="F150" s="126"/>
      <c r="G150" s="126"/>
      <c r="H150" s="126"/>
      <c r="I150" s="126"/>
      <c r="J150" s="3"/>
      <c r="K150" s="3"/>
      <c r="L150" s="3"/>
      <c r="M150" s="2"/>
      <c r="N150" s="140"/>
      <c r="O150" s="140"/>
      <c r="P150" s="140"/>
      <c r="Q150" s="140"/>
      <c r="R150" s="140"/>
      <c r="S150" s="140"/>
      <c r="T150" s="140"/>
      <c r="U150" s="140"/>
      <c r="V150" s="140"/>
      <c r="W150" s="140"/>
      <c r="X150" s="141"/>
      <c r="Y150" s="141"/>
      <c r="Z150" s="141"/>
      <c r="AA150" s="2"/>
    </row>
    <row r="151" spans="1:27" s="121" customFormat="1" ht="54.95" customHeight="1">
      <c r="A151" s="3"/>
      <c r="B151" s="3"/>
      <c r="C151" s="125"/>
      <c r="D151" s="126"/>
      <c r="E151" s="126"/>
      <c r="F151" s="126"/>
      <c r="G151" s="126"/>
      <c r="H151" s="126"/>
      <c r="I151" s="126"/>
      <c r="J151" s="3"/>
      <c r="K151" s="3"/>
      <c r="L151" s="3"/>
      <c r="M151" s="2"/>
      <c r="N151" s="140"/>
      <c r="O151" s="140"/>
      <c r="P151" s="140"/>
      <c r="Q151" s="140"/>
      <c r="R151" s="140"/>
      <c r="S151" s="140"/>
      <c r="T151" s="140"/>
      <c r="U151" s="140"/>
      <c r="V151" s="140"/>
      <c r="W151" s="140"/>
      <c r="X151" s="141"/>
      <c r="Y151" s="141"/>
      <c r="Z151" s="141"/>
      <c r="AA151" s="2"/>
    </row>
    <row r="152" spans="1:27" s="121" customFormat="1" ht="54.95" customHeight="1">
      <c r="A152" s="3"/>
      <c r="B152" s="3"/>
      <c r="C152" s="125"/>
      <c r="D152" s="126"/>
      <c r="E152" s="126"/>
      <c r="F152" s="126"/>
      <c r="G152" s="126"/>
      <c r="H152" s="126"/>
      <c r="I152" s="126"/>
      <c r="J152" s="3"/>
      <c r="K152" s="3"/>
      <c r="L152" s="3"/>
      <c r="M152" s="2"/>
      <c r="N152" s="140"/>
      <c r="O152" s="140"/>
      <c r="P152" s="140"/>
      <c r="Q152" s="140"/>
      <c r="R152" s="140"/>
      <c r="S152" s="140"/>
      <c r="T152" s="140"/>
      <c r="U152" s="140"/>
      <c r="V152" s="140"/>
      <c r="W152" s="140"/>
      <c r="X152" s="141"/>
      <c r="Y152" s="141"/>
      <c r="Z152" s="141"/>
      <c r="AA152" s="2"/>
    </row>
    <row r="153" spans="1:27" s="121" customFormat="1" ht="54.95" customHeight="1">
      <c r="A153" s="3"/>
      <c r="B153" s="3"/>
      <c r="C153" s="125"/>
      <c r="D153" s="126"/>
      <c r="E153" s="126"/>
      <c r="F153" s="126"/>
      <c r="G153" s="126"/>
      <c r="H153" s="126"/>
      <c r="I153" s="126"/>
      <c r="J153" s="3"/>
      <c r="K153" s="3"/>
      <c r="L153" s="3"/>
      <c r="M153" s="2"/>
      <c r="N153" s="140"/>
      <c r="O153" s="140"/>
      <c r="P153" s="140"/>
      <c r="Q153" s="140"/>
      <c r="R153" s="140"/>
      <c r="S153" s="140"/>
      <c r="T153" s="140"/>
      <c r="U153" s="140"/>
      <c r="V153" s="140"/>
      <c r="W153" s="140"/>
      <c r="X153" s="141"/>
      <c r="Y153" s="141"/>
      <c r="Z153" s="141"/>
      <c r="AA153" s="2"/>
    </row>
    <row r="154" spans="1:27" s="121" customFormat="1" ht="54.95" customHeight="1">
      <c r="A154" s="3"/>
      <c r="B154" s="3"/>
      <c r="C154" s="125"/>
      <c r="D154" s="126"/>
      <c r="E154" s="126"/>
      <c r="F154" s="126"/>
      <c r="G154" s="126"/>
      <c r="H154" s="126"/>
      <c r="I154" s="126"/>
      <c r="J154" s="3"/>
      <c r="K154" s="3"/>
      <c r="L154" s="3"/>
      <c r="M154" s="2"/>
      <c r="N154" s="140"/>
      <c r="O154" s="140"/>
      <c r="P154" s="140"/>
      <c r="Q154" s="140"/>
      <c r="R154" s="140"/>
      <c r="S154" s="140"/>
      <c r="T154" s="140"/>
      <c r="U154" s="140"/>
      <c r="V154" s="140"/>
      <c r="W154" s="140"/>
      <c r="X154" s="141"/>
      <c r="Y154" s="141"/>
      <c r="Z154" s="141"/>
      <c r="AA154" s="2"/>
    </row>
    <row r="155" spans="1:27" s="121" customFormat="1" ht="54.95" customHeight="1">
      <c r="A155" s="3"/>
      <c r="B155" s="3"/>
      <c r="C155" s="125"/>
      <c r="D155" s="126"/>
      <c r="E155" s="126"/>
      <c r="F155" s="126"/>
      <c r="G155" s="126"/>
      <c r="H155" s="126"/>
      <c r="I155" s="126"/>
      <c r="J155" s="3"/>
      <c r="K155" s="3"/>
      <c r="L155" s="3"/>
      <c r="M155" s="2"/>
      <c r="N155" s="140"/>
      <c r="O155" s="140"/>
      <c r="P155" s="140"/>
      <c r="Q155" s="140"/>
      <c r="R155" s="140"/>
      <c r="S155" s="140"/>
      <c r="T155" s="140"/>
      <c r="U155" s="140"/>
      <c r="V155" s="140"/>
      <c r="W155" s="140"/>
      <c r="X155" s="141"/>
      <c r="Y155" s="141"/>
      <c r="Z155" s="141"/>
      <c r="AA155" s="2"/>
    </row>
    <row r="156" spans="1:27" s="121" customFormat="1" ht="54.95" customHeight="1">
      <c r="A156" s="3"/>
      <c r="B156" s="3"/>
      <c r="C156" s="125"/>
      <c r="D156" s="126"/>
      <c r="E156" s="126"/>
      <c r="F156" s="126"/>
      <c r="G156" s="126"/>
      <c r="H156" s="126"/>
      <c r="I156" s="126"/>
      <c r="J156" s="3"/>
      <c r="K156" s="3"/>
      <c r="L156" s="3"/>
      <c r="M156" s="2"/>
      <c r="N156" s="140"/>
      <c r="O156" s="140"/>
      <c r="P156" s="140"/>
      <c r="Q156" s="140"/>
      <c r="R156" s="140"/>
      <c r="S156" s="140"/>
      <c r="T156" s="140"/>
      <c r="U156" s="140"/>
      <c r="V156" s="140"/>
      <c r="W156" s="140"/>
      <c r="X156" s="141"/>
      <c r="Y156" s="141"/>
      <c r="Z156" s="141"/>
      <c r="AA156" s="2"/>
    </row>
    <row r="157" spans="1:27" s="121" customFormat="1" ht="54.95" customHeight="1">
      <c r="A157" s="3"/>
      <c r="B157" s="3"/>
      <c r="C157" s="125"/>
      <c r="D157" s="126"/>
      <c r="E157" s="126"/>
      <c r="F157" s="126"/>
      <c r="G157" s="126"/>
      <c r="H157" s="126"/>
      <c r="I157" s="126"/>
      <c r="J157" s="3"/>
      <c r="K157" s="3"/>
      <c r="L157" s="3"/>
      <c r="M157" s="2"/>
      <c r="N157" s="140"/>
      <c r="O157" s="140"/>
      <c r="P157" s="140"/>
      <c r="Q157" s="140"/>
      <c r="R157" s="140"/>
      <c r="S157" s="140"/>
      <c r="T157" s="140"/>
      <c r="U157" s="140"/>
      <c r="V157" s="140"/>
      <c r="W157" s="140"/>
      <c r="X157" s="141"/>
      <c r="Y157" s="141"/>
      <c r="Z157" s="141"/>
      <c r="AA157" s="2"/>
    </row>
    <row r="158" spans="1:27" s="121" customFormat="1" ht="54.95" customHeight="1">
      <c r="A158" s="3"/>
      <c r="B158" s="3"/>
      <c r="C158" s="125"/>
      <c r="D158" s="126"/>
      <c r="E158" s="126"/>
      <c r="F158" s="126"/>
      <c r="G158" s="126"/>
      <c r="H158" s="126"/>
      <c r="I158" s="126"/>
      <c r="J158" s="3"/>
      <c r="K158" s="3"/>
      <c r="L158" s="3"/>
      <c r="M158" s="2"/>
      <c r="N158" s="140"/>
      <c r="O158" s="140"/>
      <c r="P158" s="140"/>
      <c r="Q158" s="140"/>
      <c r="R158" s="140"/>
      <c r="S158" s="140"/>
      <c r="T158" s="140"/>
      <c r="U158" s="140"/>
      <c r="V158" s="140"/>
      <c r="W158" s="140"/>
      <c r="X158" s="141"/>
      <c r="Y158" s="141"/>
      <c r="Z158" s="141"/>
      <c r="AA158" s="2"/>
    </row>
    <row r="159" spans="1:27" s="121" customFormat="1" ht="54.95" customHeight="1">
      <c r="A159" s="3"/>
      <c r="B159" s="3"/>
      <c r="C159" s="125"/>
      <c r="D159" s="126"/>
      <c r="E159" s="126"/>
      <c r="F159" s="126"/>
      <c r="G159" s="126"/>
      <c r="H159" s="126"/>
      <c r="I159" s="126"/>
      <c r="J159" s="3"/>
      <c r="K159" s="3"/>
      <c r="L159" s="3"/>
      <c r="M159" s="2"/>
      <c r="N159" s="140"/>
      <c r="O159" s="140"/>
      <c r="P159" s="140"/>
      <c r="Q159" s="140"/>
      <c r="R159" s="140"/>
      <c r="S159" s="140"/>
      <c r="T159" s="140"/>
      <c r="U159" s="140"/>
      <c r="V159" s="140"/>
      <c r="W159" s="140"/>
      <c r="X159" s="141"/>
      <c r="Y159" s="141"/>
      <c r="Z159" s="141"/>
      <c r="AA159" s="2"/>
    </row>
    <row r="160" spans="1:27" s="121" customFormat="1" ht="54.95" customHeight="1">
      <c r="A160" s="3"/>
      <c r="B160" s="3"/>
      <c r="C160" s="125"/>
      <c r="D160" s="126"/>
      <c r="E160" s="126"/>
      <c r="F160" s="126"/>
      <c r="G160" s="126"/>
      <c r="H160" s="126"/>
      <c r="I160" s="126"/>
      <c r="J160" s="3"/>
      <c r="K160" s="3"/>
      <c r="L160" s="3"/>
      <c r="M160" s="2"/>
      <c r="N160" s="140"/>
      <c r="O160" s="140"/>
      <c r="P160" s="140"/>
      <c r="Q160" s="140"/>
      <c r="R160" s="140"/>
      <c r="S160" s="140"/>
      <c r="T160" s="140"/>
      <c r="U160" s="140"/>
      <c r="V160" s="140"/>
      <c r="W160" s="140"/>
      <c r="X160" s="141"/>
      <c r="Y160" s="141"/>
      <c r="Z160" s="141"/>
      <c r="AA160" s="2"/>
    </row>
    <row r="161" spans="1:27" s="121" customFormat="1" ht="54.95" customHeight="1">
      <c r="A161" s="3"/>
      <c r="B161" s="3"/>
      <c r="C161" s="125"/>
      <c r="D161" s="126"/>
      <c r="E161" s="126"/>
      <c r="F161" s="126"/>
      <c r="G161" s="126"/>
      <c r="H161" s="126"/>
      <c r="I161" s="126"/>
      <c r="J161" s="3"/>
      <c r="K161" s="3"/>
      <c r="L161" s="3"/>
      <c r="M161" s="2"/>
      <c r="N161" s="140"/>
      <c r="O161" s="140"/>
      <c r="P161" s="140"/>
      <c r="Q161" s="140"/>
      <c r="R161" s="140"/>
      <c r="S161" s="140"/>
      <c r="T161" s="140"/>
      <c r="U161" s="140"/>
      <c r="V161" s="140"/>
      <c r="W161" s="140"/>
      <c r="X161" s="141"/>
      <c r="Y161" s="141"/>
      <c r="Z161" s="141"/>
      <c r="AA161" s="2"/>
    </row>
    <row r="162" spans="1:27" s="121" customFormat="1" ht="54.95" customHeight="1">
      <c r="A162" s="3"/>
      <c r="B162" s="3"/>
      <c r="C162" s="125"/>
      <c r="D162" s="126"/>
      <c r="E162" s="126"/>
      <c r="F162" s="126"/>
      <c r="G162" s="126"/>
      <c r="H162" s="126"/>
      <c r="I162" s="126"/>
      <c r="J162" s="3"/>
      <c r="K162" s="3"/>
      <c r="L162" s="3"/>
      <c r="M162" s="2"/>
      <c r="N162" s="140"/>
      <c r="O162" s="140"/>
      <c r="P162" s="140"/>
      <c r="Q162" s="140"/>
      <c r="R162" s="140"/>
      <c r="S162" s="140"/>
      <c r="T162" s="140"/>
      <c r="U162" s="140"/>
      <c r="V162" s="140"/>
      <c r="W162" s="140"/>
      <c r="X162" s="141"/>
      <c r="Y162" s="141"/>
      <c r="Z162" s="141"/>
      <c r="AA162" s="2"/>
    </row>
    <row r="163" spans="1:27" s="121" customFormat="1" ht="54.95" customHeight="1">
      <c r="A163" s="3"/>
      <c r="B163" s="3"/>
      <c r="C163" s="125"/>
      <c r="D163" s="126"/>
      <c r="E163" s="126"/>
      <c r="F163" s="126"/>
      <c r="G163" s="126"/>
      <c r="H163" s="126"/>
      <c r="I163" s="126"/>
      <c r="J163" s="3"/>
      <c r="K163" s="3"/>
      <c r="L163" s="3"/>
      <c r="M163" s="2"/>
      <c r="N163" s="140"/>
      <c r="O163" s="140"/>
      <c r="P163" s="140"/>
      <c r="Q163" s="140"/>
      <c r="R163" s="140"/>
      <c r="S163" s="140"/>
      <c r="T163" s="140"/>
      <c r="U163" s="140"/>
      <c r="V163" s="140"/>
      <c r="W163" s="140"/>
      <c r="X163" s="141"/>
      <c r="Y163" s="141"/>
      <c r="Z163" s="141"/>
      <c r="AA163" s="2"/>
    </row>
    <row r="164" spans="1:27" s="121" customFormat="1" ht="54.95" customHeight="1">
      <c r="A164" s="3"/>
      <c r="B164" s="3"/>
      <c r="C164" s="125"/>
      <c r="D164" s="126"/>
      <c r="E164" s="126"/>
      <c r="F164" s="126"/>
      <c r="G164" s="126"/>
      <c r="H164" s="126"/>
      <c r="I164" s="126"/>
      <c r="J164" s="3"/>
      <c r="K164" s="3"/>
      <c r="L164" s="3"/>
      <c r="M164" s="2"/>
      <c r="N164" s="140"/>
      <c r="O164" s="140"/>
      <c r="P164" s="140"/>
      <c r="Q164" s="140"/>
      <c r="R164" s="140"/>
      <c r="S164" s="140"/>
      <c r="T164" s="140"/>
      <c r="U164" s="140"/>
      <c r="V164" s="140"/>
      <c r="W164" s="140"/>
      <c r="X164" s="141"/>
      <c r="Y164" s="141"/>
      <c r="Z164" s="141"/>
      <c r="AA164" s="2"/>
    </row>
    <row r="165" spans="1:27" s="121" customFormat="1" ht="54.95" customHeight="1">
      <c r="A165" s="3"/>
      <c r="B165" s="3"/>
      <c r="C165" s="125"/>
      <c r="D165" s="126"/>
      <c r="E165" s="126"/>
      <c r="F165" s="126"/>
      <c r="G165" s="126"/>
      <c r="H165" s="126"/>
      <c r="I165" s="126"/>
      <c r="J165" s="3"/>
      <c r="K165" s="3"/>
      <c r="L165" s="3"/>
      <c r="M165" s="2"/>
      <c r="N165" s="140"/>
      <c r="O165" s="140"/>
      <c r="P165" s="140"/>
      <c r="Q165" s="140"/>
      <c r="R165" s="140"/>
      <c r="S165" s="140"/>
      <c r="T165" s="140"/>
      <c r="U165" s="140"/>
      <c r="V165" s="140"/>
      <c r="W165" s="140"/>
      <c r="X165" s="141"/>
      <c r="Y165" s="141"/>
      <c r="Z165" s="141"/>
      <c r="AA165" s="2"/>
    </row>
    <row r="166" spans="1:27" s="121" customFormat="1" ht="54.95" customHeight="1">
      <c r="A166" s="3"/>
      <c r="B166" s="3"/>
      <c r="C166" s="125"/>
      <c r="D166" s="126"/>
      <c r="E166" s="126"/>
      <c r="F166" s="126"/>
      <c r="G166" s="126"/>
      <c r="H166" s="126"/>
      <c r="I166" s="126"/>
      <c r="J166" s="3"/>
      <c r="K166" s="3"/>
      <c r="L166" s="3"/>
      <c r="M166" s="2"/>
      <c r="N166" s="140"/>
      <c r="O166" s="140"/>
      <c r="P166" s="140"/>
      <c r="Q166" s="140"/>
      <c r="R166" s="140"/>
      <c r="S166" s="140"/>
      <c r="T166" s="140"/>
      <c r="U166" s="140"/>
      <c r="V166" s="140"/>
      <c r="W166" s="140"/>
      <c r="X166" s="141"/>
      <c r="Y166" s="141"/>
      <c r="Z166" s="141"/>
      <c r="AA166" s="2"/>
    </row>
    <row r="167" spans="1:27" s="121" customFormat="1" ht="54.95" customHeight="1">
      <c r="A167" s="3"/>
      <c r="B167" s="3"/>
      <c r="C167" s="125"/>
      <c r="D167" s="126"/>
      <c r="E167" s="126"/>
      <c r="F167" s="126"/>
      <c r="G167" s="126"/>
      <c r="H167" s="126"/>
      <c r="I167" s="126"/>
      <c r="J167" s="3"/>
      <c r="K167" s="3"/>
      <c r="L167" s="3"/>
      <c r="M167" s="2"/>
      <c r="N167" s="140"/>
      <c r="O167" s="140"/>
      <c r="P167" s="140"/>
      <c r="Q167" s="140"/>
      <c r="R167" s="140"/>
      <c r="S167" s="140"/>
      <c r="T167" s="140"/>
      <c r="U167" s="140"/>
      <c r="V167" s="140"/>
      <c r="W167" s="140"/>
      <c r="X167" s="141"/>
      <c r="Y167" s="141"/>
      <c r="Z167" s="141"/>
      <c r="AA167" s="2"/>
    </row>
    <row r="168" spans="1:27" s="121" customFormat="1" ht="54.95" customHeight="1">
      <c r="A168" s="3"/>
      <c r="B168" s="3"/>
      <c r="C168" s="125"/>
      <c r="D168" s="126"/>
      <c r="E168" s="126"/>
      <c r="F168" s="126"/>
      <c r="G168" s="126"/>
      <c r="H168" s="126"/>
      <c r="I168" s="126"/>
      <c r="J168" s="3"/>
      <c r="K168" s="3"/>
      <c r="L168" s="3"/>
      <c r="M168" s="2"/>
      <c r="N168" s="140"/>
      <c r="O168" s="140"/>
      <c r="P168" s="140"/>
      <c r="Q168" s="140"/>
      <c r="R168" s="140"/>
      <c r="S168" s="140"/>
      <c r="T168" s="140"/>
      <c r="U168" s="140"/>
      <c r="V168" s="140"/>
      <c r="W168" s="140"/>
      <c r="X168" s="141"/>
      <c r="Y168" s="141"/>
      <c r="Z168" s="141"/>
      <c r="AA168" s="2"/>
    </row>
    <row r="169" spans="1:27" s="121" customFormat="1" ht="54.95" customHeight="1">
      <c r="A169" s="3"/>
      <c r="B169" s="3"/>
      <c r="C169" s="125"/>
      <c r="D169" s="126"/>
      <c r="E169" s="126"/>
      <c r="F169" s="126"/>
      <c r="G169" s="126"/>
      <c r="H169" s="126"/>
      <c r="I169" s="126"/>
      <c r="J169" s="3"/>
      <c r="K169" s="3"/>
      <c r="L169" s="3"/>
      <c r="M169" s="2"/>
      <c r="N169" s="140"/>
      <c r="O169" s="140"/>
      <c r="P169" s="140"/>
      <c r="Q169" s="140"/>
      <c r="R169" s="140"/>
      <c r="S169" s="140"/>
      <c r="T169" s="140"/>
      <c r="U169" s="140"/>
      <c r="V169" s="140"/>
      <c r="W169" s="140"/>
      <c r="X169" s="141"/>
      <c r="Y169" s="141"/>
      <c r="Z169" s="141"/>
      <c r="AA169" s="2"/>
    </row>
    <row r="170" spans="1:27" s="121" customFormat="1" ht="54.95" customHeight="1">
      <c r="A170" s="3"/>
      <c r="B170" s="3"/>
      <c r="C170" s="125"/>
      <c r="D170" s="126"/>
      <c r="E170" s="126"/>
      <c r="F170" s="126"/>
      <c r="G170" s="126"/>
      <c r="H170" s="126"/>
      <c r="I170" s="126"/>
      <c r="J170" s="3"/>
      <c r="K170" s="3"/>
      <c r="L170" s="3"/>
      <c r="M170" s="2"/>
      <c r="N170" s="140"/>
      <c r="O170" s="140"/>
      <c r="P170" s="140"/>
      <c r="Q170" s="140"/>
      <c r="R170" s="140"/>
      <c r="S170" s="140"/>
      <c r="T170" s="140"/>
      <c r="U170" s="140"/>
      <c r="V170" s="140"/>
      <c r="W170" s="140"/>
      <c r="X170" s="141"/>
      <c r="Y170" s="141"/>
      <c r="Z170" s="141"/>
      <c r="AA170" s="2"/>
    </row>
    <row r="171" spans="1:27" s="121" customFormat="1" ht="54.95" customHeight="1">
      <c r="A171" s="3"/>
      <c r="B171" s="3"/>
      <c r="C171" s="125"/>
      <c r="D171" s="126"/>
      <c r="E171" s="126"/>
      <c r="F171" s="126"/>
      <c r="G171" s="126"/>
      <c r="H171" s="126"/>
      <c r="I171" s="126"/>
      <c r="J171" s="3"/>
      <c r="K171" s="3"/>
      <c r="L171" s="3"/>
      <c r="M171" s="2"/>
      <c r="N171" s="140"/>
      <c r="O171" s="140"/>
      <c r="P171" s="140"/>
      <c r="Q171" s="140"/>
      <c r="R171" s="140"/>
      <c r="S171" s="140"/>
      <c r="T171" s="140"/>
      <c r="U171" s="140"/>
      <c r="V171" s="140"/>
      <c r="W171" s="140"/>
      <c r="X171" s="141"/>
      <c r="Y171" s="141"/>
      <c r="Z171" s="141"/>
      <c r="AA171" s="2"/>
    </row>
    <row r="172" spans="1:27" s="121" customFormat="1" ht="54.95" customHeight="1">
      <c r="A172" s="3"/>
      <c r="B172" s="3"/>
      <c r="C172" s="125"/>
      <c r="D172" s="126"/>
      <c r="E172" s="126"/>
      <c r="F172" s="126"/>
      <c r="G172" s="126"/>
      <c r="H172" s="126"/>
      <c r="I172" s="126"/>
      <c r="J172" s="3"/>
      <c r="K172" s="3"/>
      <c r="L172" s="3"/>
      <c r="M172" s="2"/>
      <c r="N172" s="140"/>
      <c r="O172" s="140"/>
      <c r="P172" s="140"/>
      <c r="Q172" s="140"/>
      <c r="R172" s="140"/>
      <c r="S172" s="140"/>
      <c r="T172" s="140"/>
      <c r="U172" s="140"/>
      <c r="V172" s="140"/>
      <c r="W172" s="140"/>
      <c r="X172" s="141"/>
      <c r="Y172" s="141"/>
      <c r="Z172" s="141"/>
      <c r="AA172" s="2"/>
    </row>
    <row r="173" spans="1:27" s="121" customFormat="1" ht="54.95" customHeight="1">
      <c r="A173" s="3"/>
      <c r="B173" s="3"/>
      <c r="C173" s="125"/>
      <c r="D173" s="126"/>
      <c r="E173" s="126"/>
      <c r="F173" s="126"/>
      <c r="G173" s="126"/>
      <c r="H173" s="126"/>
      <c r="I173" s="126"/>
      <c r="J173" s="3"/>
      <c r="K173" s="3"/>
      <c r="L173" s="3"/>
      <c r="M173" s="2"/>
      <c r="N173" s="140"/>
      <c r="O173" s="140"/>
      <c r="P173" s="140"/>
      <c r="Q173" s="140"/>
      <c r="R173" s="140"/>
      <c r="S173" s="140"/>
      <c r="T173" s="140"/>
      <c r="U173" s="140"/>
      <c r="V173" s="140"/>
      <c r="W173" s="140"/>
      <c r="X173" s="141"/>
      <c r="Y173" s="141"/>
      <c r="Z173" s="141"/>
      <c r="AA173" s="2"/>
    </row>
    <row r="174" spans="1:27" s="121" customFormat="1" ht="54.95" customHeight="1">
      <c r="A174" s="3"/>
      <c r="B174" s="3"/>
      <c r="C174" s="125"/>
      <c r="D174" s="126"/>
      <c r="E174" s="126"/>
      <c r="F174" s="126"/>
      <c r="G174" s="126"/>
      <c r="H174" s="126"/>
      <c r="I174" s="126"/>
      <c r="J174" s="3"/>
      <c r="K174" s="3"/>
      <c r="L174" s="3"/>
      <c r="M174" s="2"/>
      <c r="N174" s="140"/>
      <c r="O174" s="140"/>
      <c r="P174" s="140"/>
      <c r="Q174" s="140"/>
      <c r="R174" s="140"/>
      <c r="S174" s="140"/>
      <c r="T174" s="140"/>
      <c r="U174" s="140"/>
      <c r="V174" s="140"/>
      <c r="W174" s="140"/>
      <c r="X174" s="141"/>
      <c r="Y174" s="141"/>
      <c r="Z174" s="141"/>
      <c r="AA174" s="2"/>
    </row>
    <row r="175" spans="1:27" s="121" customFormat="1" ht="54.95" customHeight="1">
      <c r="A175" s="3"/>
      <c r="B175" s="3"/>
      <c r="C175" s="125"/>
      <c r="D175" s="126"/>
      <c r="E175" s="126"/>
      <c r="F175" s="126"/>
      <c r="G175" s="126"/>
      <c r="H175" s="126"/>
      <c r="I175" s="126"/>
      <c r="J175" s="3"/>
      <c r="K175" s="3"/>
      <c r="L175" s="3"/>
      <c r="M175" s="2"/>
      <c r="N175" s="140"/>
      <c r="O175" s="140"/>
      <c r="P175" s="140"/>
      <c r="Q175" s="140"/>
      <c r="R175" s="140"/>
      <c r="S175" s="140"/>
      <c r="T175" s="140"/>
      <c r="U175" s="140"/>
      <c r="V175" s="140"/>
      <c r="W175" s="140"/>
      <c r="X175" s="141"/>
      <c r="Y175" s="141"/>
      <c r="Z175" s="141"/>
      <c r="AA175" s="2"/>
    </row>
    <row r="176" spans="1:27" s="121" customFormat="1" ht="54.95" customHeight="1">
      <c r="A176" s="3"/>
      <c r="B176" s="3"/>
      <c r="C176" s="125"/>
      <c r="D176" s="126"/>
      <c r="E176" s="126"/>
      <c r="F176" s="126"/>
      <c r="G176" s="126"/>
      <c r="H176" s="126"/>
      <c r="I176" s="126"/>
      <c r="J176" s="3"/>
      <c r="K176" s="3"/>
      <c r="L176" s="3"/>
      <c r="M176" s="2"/>
      <c r="N176" s="140"/>
      <c r="O176" s="140"/>
      <c r="P176" s="140"/>
      <c r="Q176" s="140"/>
      <c r="R176" s="140"/>
      <c r="S176" s="140"/>
      <c r="T176" s="140"/>
      <c r="U176" s="140"/>
      <c r="V176" s="140"/>
      <c r="W176" s="140"/>
      <c r="X176" s="141"/>
      <c r="Y176" s="141"/>
      <c r="Z176" s="141"/>
      <c r="AA176" s="2"/>
    </row>
    <row r="177" spans="1:27" s="121" customFormat="1" ht="54.95" customHeight="1">
      <c r="A177" s="3"/>
      <c r="B177" s="3"/>
      <c r="C177" s="125"/>
      <c r="D177" s="126"/>
      <c r="E177" s="126"/>
      <c r="F177" s="126"/>
      <c r="G177" s="126"/>
      <c r="H177" s="126"/>
      <c r="I177" s="126"/>
      <c r="J177" s="3"/>
      <c r="K177" s="3"/>
      <c r="L177" s="3"/>
      <c r="M177" s="2"/>
      <c r="N177" s="140"/>
      <c r="O177" s="140"/>
      <c r="P177" s="140"/>
      <c r="Q177" s="140"/>
      <c r="R177" s="140"/>
      <c r="S177" s="140"/>
      <c r="T177" s="140"/>
      <c r="U177" s="140"/>
      <c r="V177" s="140"/>
      <c r="W177" s="140"/>
      <c r="X177" s="141"/>
      <c r="Y177" s="141"/>
      <c r="Z177" s="141"/>
      <c r="AA177" s="2"/>
    </row>
    <row r="178" spans="1:27" s="121" customFormat="1" ht="54.95" customHeight="1">
      <c r="A178" s="3"/>
      <c r="B178" s="3"/>
      <c r="C178" s="125"/>
      <c r="D178" s="126"/>
      <c r="E178" s="126"/>
      <c r="F178" s="126"/>
      <c r="G178" s="126"/>
      <c r="H178" s="126"/>
      <c r="I178" s="126"/>
      <c r="J178" s="3"/>
      <c r="K178" s="3"/>
      <c r="L178" s="3"/>
      <c r="M178" s="2"/>
      <c r="N178" s="140"/>
      <c r="O178" s="140"/>
      <c r="P178" s="140"/>
      <c r="Q178" s="140"/>
      <c r="R178" s="140"/>
      <c r="S178" s="140"/>
      <c r="T178" s="140"/>
      <c r="U178" s="140"/>
      <c r="V178" s="140"/>
      <c r="W178" s="140"/>
      <c r="X178" s="141"/>
      <c r="Y178" s="141"/>
      <c r="Z178" s="141"/>
      <c r="AA178" s="2"/>
    </row>
    <row r="179" spans="1:27" s="121" customFormat="1" ht="54.95" customHeight="1">
      <c r="A179" s="3"/>
      <c r="B179" s="3"/>
      <c r="C179" s="125"/>
      <c r="D179" s="126"/>
      <c r="E179" s="126"/>
      <c r="F179" s="126"/>
      <c r="G179" s="126"/>
      <c r="H179" s="126"/>
      <c r="I179" s="126"/>
      <c r="J179" s="3"/>
      <c r="K179" s="3"/>
      <c r="L179" s="3"/>
      <c r="M179" s="2"/>
      <c r="N179" s="140"/>
      <c r="O179" s="140"/>
      <c r="P179" s="140"/>
      <c r="Q179" s="140"/>
      <c r="R179" s="140"/>
      <c r="S179" s="140"/>
      <c r="T179" s="140"/>
      <c r="U179" s="140"/>
      <c r="V179" s="140"/>
      <c r="W179" s="140"/>
      <c r="X179" s="141"/>
      <c r="Y179" s="141"/>
      <c r="Z179" s="141"/>
      <c r="AA179" s="2"/>
    </row>
    <row r="180" spans="1:27" s="121" customFormat="1" ht="54.95" customHeight="1">
      <c r="A180" s="3"/>
      <c r="B180" s="3"/>
      <c r="C180" s="125"/>
      <c r="D180" s="126"/>
      <c r="E180" s="126"/>
      <c r="F180" s="126"/>
      <c r="G180" s="126"/>
      <c r="H180" s="126"/>
      <c r="I180" s="126"/>
      <c r="J180" s="3"/>
      <c r="K180" s="3"/>
      <c r="L180" s="3"/>
      <c r="M180" s="2"/>
      <c r="N180" s="140"/>
      <c r="O180" s="140"/>
      <c r="P180" s="140"/>
      <c r="Q180" s="140"/>
      <c r="R180" s="140"/>
      <c r="S180" s="140"/>
      <c r="T180" s="140"/>
      <c r="U180" s="140"/>
      <c r="V180" s="140"/>
      <c r="W180" s="140"/>
      <c r="X180" s="141"/>
      <c r="Y180" s="141"/>
      <c r="Z180" s="141"/>
      <c r="AA180" s="2"/>
    </row>
    <row r="181" spans="1:27" s="121" customFormat="1" ht="54.95" customHeight="1">
      <c r="A181" s="3"/>
      <c r="B181" s="3"/>
      <c r="C181" s="125"/>
      <c r="D181" s="126"/>
      <c r="E181" s="126"/>
      <c r="F181" s="126"/>
      <c r="G181" s="126"/>
      <c r="H181" s="126"/>
      <c r="I181" s="126"/>
      <c r="J181" s="3"/>
      <c r="K181" s="3"/>
      <c r="L181" s="3"/>
      <c r="M181" s="2"/>
      <c r="N181" s="140"/>
      <c r="O181" s="140"/>
      <c r="P181" s="140"/>
      <c r="Q181" s="140"/>
      <c r="R181" s="140"/>
      <c r="S181" s="140"/>
      <c r="T181" s="140"/>
      <c r="U181" s="140"/>
      <c r="V181" s="140"/>
      <c r="W181" s="140"/>
      <c r="X181" s="141"/>
      <c r="Y181" s="141"/>
      <c r="Z181" s="141"/>
      <c r="AA181" s="2"/>
    </row>
    <row r="182" spans="1:27" s="121" customFormat="1" ht="54.95" customHeight="1">
      <c r="A182" s="3"/>
      <c r="B182" s="3"/>
      <c r="C182" s="125"/>
      <c r="D182" s="126"/>
      <c r="E182" s="126"/>
      <c r="F182" s="126"/>
      <c r="G182" s="126"/>
      <c r="H182" s="126"/>
      <c r="I182" s="126"/>
      <c r="J182" s="3"/>
      <c r="K182" s="3"/>
      <c r="L182" s="3"/>
      <c r="M182" s="2"/>
      <c r="N182" s="140"/>
      <c r="O182" s="140"/>
      <c r="P182" s="140"/>
      <c r="Q182" s="140"/>
      <c r="R182" s="140"/>
      <c r="S182" s="140"/>
      <c r="T182" s="140"/>
      <c r="U182" s="140"/>
      <c r="V182" s="140"/>
      <c r="W182" s="140"/>
      <c r="X182" s="141"/>
      <c r="Y182" s="141"/>
      <c r="Z182" s="141"/>
      <c r="AA182" s="2"/>
    </row>
    <row r="183" spans="1:27" s="121" customFormat="1" ht="54.95" customHeight="1">
      <c r="A183" s="3"/>
      <c r="B183" s="3"/>
      <c r="C183" s="125"/>
      <c r="D183" s="126"/>
      <c r="E183" s="126"/>
      <c r="F183" s="126"/>
      <c r="G183" s="126"/>
      <c r="H183" s="126"/>
      <c r="I183" s="126"/>
      <c r="J183" s="3"/>
      <c r="K183" s="3"/>
      <c r="L183" s="3"/>
      <c r="M183" s="2"/>
      <c r="N183" s="140"/>
      <c r="O183" s="140"/>
      <c r="P183" s="140"/>
      <c r="Q183" s="140"/>
      <c r="R183" s="140"/>
      <c r="S183" s="140"/>
      <c r="T183" s="140"/>
      <c r="U183" s="140"/>
      <c r="V183" s="140"/>
      <c r="W183" s="140"/>
      <c r="X183" s="141"/>
      <c r="Y183" s="141"/>
      <c r="Z183" s="141"/>
      <c r="AA183" s="2"/>
    </row>
    <row r="184" spans="1:27" s="121" customFormat="1" ht="54.95" customHeight="1">
      <c r="A184" s="3"/>
      <c r="B184" s="3"/>
      <c r="C184" s="125"/>
      <c r="D184" s="126"/>
      <c r="E184" s="126"/>
      <c r="F184" s="126"/>
      <c r="G184" s="126"/>
      <c r="H184" s="126"/>
      <c r="I184" s="126"/>
      <c r="J184" s="3"/>
      <c r="K184" s="3"/>
      <c r="L184" s="3"/>
      <c r="M184" s="2"/>
      <c r="N184" s="140"/>
      <c r="O184" s="140"/>
      <c r="P184" s="140"/>
      <c r="Q184" s="140"/>
      <c r="R184" s="140"/>
      <c r="S184" s="140"/>
      <c r="T184" s="140"/>
      <c r="U184" s="140"/>
      <c r="V184" s="140"/>
      <c r="W184" s="140"/>
      <c r="X184" s="141"/>
      <c r="Y184" s="141"/>
      <c r="Z184" s="141"/>
      <c r="AA184" s="2"/>
    </row>
    <row r="185" spans="1:27" s="121" customFormat="1" ht="54.95" customHeight="1">
      <c r="A185" s="3"/>
      <c r="B185" s="3"/>
      <c r="C185" s="125"/>
      <c r="D185" s="126"/>
      <c r="E185" s="126"/>
      <c r="F185" s="126"/>
      <c r="G185" s="126"/>
      <c r="H185" s="126"/>
      <c r="I185" s="126"/>
      <c r="J185" s="3"/>
      <c r="K185" s="3"/>
      <c r="L185" s="3"/>
      <c r="M185" s="2"/>
      <c r="N185" s="140"/>
      <c r="O185" s="140"/>
      <c r="P185" s="140"/>
      <c r="Q185" s="140"/>
      <c r="R185" s="140"/>
      <c r="S185" s="140"/>
      <c r="T185" s="140"/>
      <c r="U185" s="140"/>
      <c r="V185" s="140"/>
      <c r="W185" s="140"/>
      <c r="X185" s="141"/>
      <c r="Y185" s="141"/>
      <c r="Z185" s="141"/>
      <c r="AA185" s="2"/>
    </row>
    <row r="186" spans="1:27" s="121" customFormat="1" ht="54.95" customHeight="1">
      <c r="A186" s="3"/>
      <c r="B186" s="3"/>
      <c r="C186" s="125"/>
      <c r="D186" s="126"/>
      <c r="E186" s="126"/>
      <c r="F186" s="126"/>
      <c r="G186" s="126"/>
      <c r="H186" s="126"/>
      <c r="I186" s="126"/>
      <c r="J186" s="3"/>
      <c r="K186" s="3"/>
      <c r="L186" s="3"/>
      <c r="M186" s="2"/>
      <c r="N186" s="140"/>
      <c r="O186" s="140"/>
      <c r="P186" s="140"/>
      <c r="Q186" s="140"/>
      <c r="R186" s="140"/>
      <c r="S186" s="140"/>
      <c r="T186" s="140"/>
      <c r="U186" s="140"/>
      <c r="V186" s="140"/>
      <c r="W186" s="140"/>
      <c r="X186" s="141"/>
      <c r="Y186" s="141"/>
      <c r="Z186" s="141"/>
      <c r="AA186" s="2"/>
    </row>
    <row r="187" spans="1:27" s="121" customFormat="1" ht="54.95" customHeight="1">
      <c r="A187" s="3"/>
      <c r="B187" s="3"/>
      <c r="C187" s="125"/>
      <c r="D187" s="126"/>
      <c r="E187" s="126"/>
      <c r="F187" s="126"/>
      <c r="G187" s="126"/>
      <c r="H187" s="126"/>
      <c r="I187" s="126"/>
      <c r="J187" s="3"/>
      <c r="K187" s="3"/>
      <c r="L187" s="3"/>
      <c r="M187" s="2"/>
      <c r="N187" s="140"/>
      <c r="O187" s="140"/>
      <c r="P187" s="140"/>
      <c r="Q187" s="140"/>
      <c r="R187" s="140"/>
      <c r="S187" s="140"/>
      <c r="T187" s="140"/>
      <c r="U187" s="140"/>
      <c r="V187" s="140"/>
      <c r="W187" s="140"/>
      <c r="X187" s="141"/>
      <c r="Y187" s="141"/>
      <c r="Z187" s="141"/>
      <c r="AA187" s="2"/>
    </row>
    <row r="188" spans="1:27" s="121" customFormat="1" ht="54.95" customHeight="1">
      <c r="A188" s="3"/>
      <c r="B188" s="3"/>
      <c r="C188" s="125"/>
      <c r="D188" s="126"/>
      <c r="E188" s="126"/>
      <c r="F188" s="126"/>
      <c r="G188" s="126"/>
      <c r="H188" s="126"/>
      <c r="I188" s="126"/>
      <c r="J188" s="3"/>
      <c r="K188" s="3"/>
      <c r="L188" s="3"/>
      <c r="M188" s="2"/>
      <c r="N188" s="140"/>
      <c r="O188" s="140"/>
      <c r="P188" s="140"/>
      <c r="Q188" s="140"/>
      <c r="R188" s="140"/>
      <c r="S188" s="140"/>
      <c r="T188" s="140"/>
      <c r="U188" s="140"/>
      <c r="V188" s="140"/>
      <c r="W188" s="140"/>
      <c r="X188" s="141"/>
      <c r="Y188" s="141"/>
      <c r="Z188" s="141"/>
      <c r="AA188" s="2"/>
    </row>
    <row r="189" spans="1:27" s="121" customFormat="1" ht="54.95" customHeight="1">
      <c r="A189" s="3"/>
      <c r="B189" s="3"/>
      <c r="C189" s="125"/>
      <c r="D189" s="126"/>
      <c r="E189" s="126"/>
      <c r="F189" s="126"/>
      <c r="G189" s="126"/>
      <c r="H189" s="126"/>
      <c r="I189" s="126"/>
      <c r="J189" s="3"/>
      <c r="K189" s="3"/>
      <c r="L189" s="3"/>
      <c r="M189" s="2"/>
      <c r="N189" s="140"/>
      <c r="O189" s="140"/>
      <c r="P189" s="140"/>
      <c r="Q189" s="140"/>
      <c r="R189" s="140"/>
      <c r="S189" s="140"/>
      <c r="T189" s="140"/>
      <c r="U189" s="140"/>
      <c r="V189" s="140"/>
      <c r="W189" s="140"/>
      <c r="X189" s="141"/>
      <c r="Y189" s="141"/>
      <c r="Z189" s="141"/>
      <c r="AA189" s="2"/>
    </row>
    <row r="190" spans="1:27" s="121" customFormat="1" ht="54.95" customHeight="1">
      <c r="A190" s="3"/>
      <c r="B190" s="3"/>
      <c r="C190" s="125"/>
      <c r="D190" s="126"/>
      <c r="E190" s="126"/>
      <c r="F190" s="126"/>
      <c r="G190" s="126"/>
      <c r="H190" s="126"/>
      <c r="I190" s="126"/>
      <c r="J190" s="3"/>
      <c r="K190" s="3"/>
      <c r="L190" s="3"/>
      <c r="M190" s="2"/>
      <c r="N190" s="140"/>
      <c r="O190" s="140"/>
      <c r="P190" s="140"/>
      <c r="Q190" s="140"/>
      <c r="R190" s="140"/>
      <c r="S190" s="140"/>
      <c r="T190" s="140"/>
      <c r="U190" s="140"/>
      <c r="V190" s="140"/>
      <c r="W190" s="140"/>
      <c r="X190" s="141"/>
      <c r="Y190" s="141"/>
      <c r="Z190" s="141"/>
      <c r="AA190" s="2"/>
    </row>
    <row r="191" spans="1:27" s="121" customFormat="1" ht="54.95" customHeight="1">
      <c r="A191" s="3"/>
      <c r="B191" s="3"/>
      <c r="C191" s="125"/>
      <c r="D191" s="126"/>
      <c r="E191" s="126"/>
      <c r="F191" s="126"/>
      <c r="G191" s="126"/>
      <c r="H191" s="126"/>
      <c r="I191" s="126"/>
      <c r="J191" s="3"/>
      <c r="K191" s="3"/>
      <c r="L191" s="3"/>
      <c r="M191" s="2"/>
      <c r="N191" s="140"/>
      <c r="O191" s="140"/>
      <c r="P191" s="140"/>
      <c r="Q191" s="140"/>
      <c r="R191" s="140"/>
      <c r="S191" s="140"/>
      <c r="T191" s="140"/>
      <c r="U191" s="140"/>
      <c r="V191" s="140"/>
      <c r="W191" s="140"/>
      <c r="X191" s="141"/>
      <c r="Y191" s="141"/>
      <c r="Z191" s="141"/>
      <c r="AA191" s="2"/>
    </row>
    <row r="192" spans="1:27" s="121" customFormat="1" ht="54.95" customHeight="1">
      <c r="A192" s="3"/>
      <c r="B192" s="3"/>
      <c r="C192" s="125"/>
      <c r="D192" s="126"/>
      <c r="E192" s="126"/>
      <c r="F192" s="126"/>
      <c r="G192" s="126"/>
      <c r="H192" s="126"/>
      <c r="I192" s="126"/>
      <c r="J192" s="3"/>
      <c r="K192" s="3"/>
      <c r="L192" s="3"/>
      <c r="M192" s="2"/>
      <c r="N192" s="140"/>
      <c r="O192" s="140"/>
      <c r="P192" s="140"/>
      <c r="Q192" s="140"/>
      <c r="R192" s="140"/>
      <c r="S192" s="140"/>
      <c r="T192" s="140"/>
      <c r="U192" s="140"/>
      <c r="V192" s="140"/>
      <c r="W192" s="140"/>
      <c r="X192" s="141"/>
      <c r="Y192" s="141"/>
      <c r="Z192" s="141"/>
      <c r="AA192" s="2"/>
    </row>
    <row r="193" spans="1:27" s="121" customFormat="1" ht="54.95" customHeight="1">
      <c r="A193" s="3"/>
      <c r="B193" s="3"/>
      <c r="C193" s="125"/>
      <c r="D193" s="126"/>
      <c r="E193" s="126"/>
      <c r="F193" s="126"/>
      <c r="G193" s="126"/>
      <c r="H193" s="126"/>
      <c r="I193" s="126"/>
      <c r="J193" s="3"/>
      <c r="K193" s="3"/>
      <c r="L193" s="3"/>
      <c r="M193" s="2"/>
      <c r="N193" s="140"/>
      <c r="O193" s="140"/>
      <c r="P193" s="140"/>
      <c r="Q193" s="140"/>
      <c r="R193" s="140"/>
      <c r="S193" s="140"/>
      <c r="T193" s="140"/>
      <c r="U193" s="140"/>
      <c r="V193" s="140"/>
      <c r="W193" s="140"/>
      <c r="X193" s="141"/>
      <c r="Y193" s="141"/>
      <c r="Z193" s="141"/>
      <c r="AA193" s="2"/>
    </row>
    <row r="194" spans="1:27" s="121" customFormat="1" ht="54.95" customHeight="1">
      <c r="A194" s="3"/>
      <c r="B194" s="3"/>
      <c r="C194" s="125"/>
      <c r="D194" s="126"/>
      <c r="E194" s="126"/>
      <c r="F194" s="126"/>
      <c r="G194" s="126"/>
      <c r="H194" s="126"/>
      <c r="I194" s="126"/>
      <c r="J194" s="3"/>
      <c r="K194" s="3"/>
      <c r="L194" s="3"/>
      <c r="M194" s="2"/>
      <c r="N194" s="140"/>
      <c r="O194" s="140"/>
      <c r="P194" s="140"/>
      <c r="Q194" s="140"/>
      <c r="R194" s="140"/>
      <c r="S194" s="140"/>
      <c r="T194" s="140"/>
      <c r="U194" s="140"/>
      <c r="V194" s="140"/>
      <c r="W194" s="140"/>
      <c r="X194" s="141"/>
      <c r="Y194" s="141"/>
      <c r="Z194" s="141"/>
      <c r="AA194" s="2"/>
    </row>
    <row r="195" spans="1:27" s="121" customFormat="1" ht="54.95" customHeight="1">
      <c r="A195" s="3"/>
      <c r="B195" s="3"/>
      <c r="C195" s="125"/>
      <c r="D195" s="126"/>
      <c r="E195" s="126"/>
      <c r="F195" s="126"/>
      <c r="G195" s="126"/>
      <c r="H195" s="126"/>
      <c r="I195" s="126"/>
      <c r="J195" s="3"/>
      <c r="K195" s="3"/>
      <c r="L195" s="3"/>
      <c r="M195" s="2"/>
      <c r="N195" s="140"/>
      <c r="O195" s="140"/>
      <c r="P195" s="140"/>
      <c r="Q195" s="140"/>
      <c r="R195" s="140"/>
      <c r="S195" s="140"/>
      <c r="T195" s="140"/>
      <c r="U195" s="140"/>
      <c r="V195" s="140"/>
      <c r="W195" s="140"/>
      <c r="X195" s="141"/>
      <c r="Y195" s="141"/>
      <c r="Z195" s="141"/>
      <c r="AA195" s="2"/>
    </row>
    <row r="196" spans="1:27" s="30" customFormat="1" ht="54.95" hidden="1" customHeight="1">
      <c r="A196" s="15"/>
      <c r="B196" s="15" t="str">
        <f>$A$22</f>
        <v>كميت سنجه عملكرد همسان شده :</v>
      </c>
      <c r="C196" s="128" t="s">
        <v>161</v>
      </c>
      <c r="D196" s="129">
        <f>$L$22*[40]روکش!$D$3</f>
        <v>0</v>
      </c>
      <c r="E196" s="129"/>
      <c r="F196" s="129"/>
      <c r="G196" s="129"/>
      <c r="H196" s="129"/>
      <c r="I196" s="129"/>
      <c r="J196" s="15"/>
      <c r="K196" s="15"/>
      <c r="L196" s="15"/>
      <c r="M196" s="15"/>
      <c r="N196" s="140"/>
      <c r="O196" s="140"/>
      <c r="P196" s="140"/>
      <c r="Q196" s="140"/>
      <c r="R196" s="140"/>
      <c r="S196" s="140"/>
      <c r="T196" s="140"/>
      <c r="U196" s="140"/>
      <c r="V196" s="140"/>
      <c r="W196" s="140"/>
      <c r="X196" s="141"/>
      <c r="Y196" s="141"/>
      <c r="Z196" s="141"/>
      <c r="AA196" s="15"/>
    </row>
    <row r="197" spans="1:27" s="30" customFormat="1" ht="54.95" hidden="1" customHeight="1">
      <c r="A197" s="15"/>
      <c r="B197" s="15"/>
      <c r="C197" s="128" t="s">
        <v>162</v>
      </c>
      <c r="D197" s="129">
        <f>$M$22*[40]روکش!$D$3</f>
        <v>0</v>
      </c>
      <c r="E197" s="129"/>
      <c r="F197" s="129"/>
      <c r="G197" s="129"/>
      <c r="H197" s="129"/>
      <c r="I197" s="129"/>
      <c r="J197" s="15"/>
      <c r="K197" s="15"/>
      <c r="L197" s="15"/>
      <c r="M197" s="15"/>
      <c r="N197" s="140"/>
      <c r="O197" s="140"/>
      <c r="P197" s="140"/>
      <c r="Q197" s="140"/>
      <c r="R197" s="140"/>
      <c r="S197" s="140"/>
      <c r="T197" s="140"/>
      <c r="U197" s="140"/>
      <c r="V197" s="140"/>
      <c r="W197" s="140"/>
      <c r="X197" s="141"/>
      <c r="Y197" s="141"/>
      <c r="Z197" s="141"/>
      <c r="AA197" s="15"/>
    </row>
    <row r="198" spans="1:27" s="121" customFormat="1" ht="54.95" customHeight="1">
      <c r="A198" s="3"/>
      <c r="B198" s="3"/>
      <c r="C198" s="125"/>
      <c r="D198" s="126"/>
      <c r="E198" s="126"/>
      <c r="F198" s="126"/>
      <c r="G198" s="126"/>
      <c r="H198" s="126"/>
      <c r="I198" s="126"/>
      <c r="J198" s="3"/>
      <c r="K198" s="3"/>
      <c r="L198" s="3"/>
      <c r="M198" s="2"/>
      <c r="N198" s="140"/>
      <c r="O198" s="140"/>
      <c r="P198" s="140"/>
      <c r="Q198" s="140"/>
      <c r="R198" s="140"/>
      <c r="S198" s="140"/>
      <c r="T198" s="140"/>
      <c r="U198" s="140"/>
      <c r="V198" s="140"/>
      <c r="W198" s="140"/>
      <c r="X198" s="141"/>
      <c r="Y198" s="141"/>
      <c r="Z198" s="141"/>
      <c r="AA198" s="2"/>
    </row>
    <row r="199" spans="1:27" s="121" customFormat="1" ht="54.95" customHeight="1">
      <c r="A199" s="3"/>
      <c r="B199" s="3"/>
      <c r="C199" s="125"/>
      <c r="D199" s="126"/>
      <c r="E199" s="126"/>
      <c r="F199" s="126"/>
      <c r="G199" s="126"/>
      <c r="H199" s="126"/>
      <c r="I199" s="126"/>
      <c r="J199" s="3"/>
      <c r="K199" s="3"/>
      <c r="L199" s="3"/>
      <c r="M199" s="2"/>
      <c r="N199" s="140"/>
      <c r="O199" s="140"/>
      <c r="P199" s="140"/>
      <c r="Q199" s="140"/>
      <c r="R199" s="140"/>
      <c r="S199" s="140"/>
      <c r="T199" s="140"/>
      <c r="U199" s="140"/>
      <c r="V199" s="140"/>
      <c r="W199" s="140"/>
      <c r="X199" s="141"/>
      <c r="Y199" s="141"/>
      <c r="Z199" s="141"/>
      <c r="AA199" s="2"/>
    </row>
    <row r="200" spans="1:27" s="121" customFormat="1" ht="54.95" customHeight="1">
      <c r="A200" s="3"/>
      <c r="B200" s="3"/>
      <c r="C200" s="125"/>
      <c r="D200" s="126"/>
      <c r="E200" s="126"/>
      <c r="F200" s="126"/>
      <c r="G200" s="126"/>
      <c r="H200" s="126"/>
      <c r="I200" s="126"/>
      <c r="J200" s="3"/>
      <c r="K200" s="3"/>
      <c r="L200" s="3"/>
      <c r="M200" s="2"/>
      <c r="N200" s="140"/>
      <c r="O200" s="140"/>
      <c r="P200" s="140"/>
      <c r="Q200" s="140"/>
      <c r="R200" s="140"/>
      <c r="S200" s="140"/>
      <c r="T200" s="140"/>
      <c r="U200" s="140"/>
      <c r="V200" s="140"/>
      <c r="W200" s="140"/>
      <c r="X200" s="141"/>
      <c r="Y200" s="141"/>
      <c r="Z200" s="141"/>
      <c r="AA200" s="2"/>
    </row>
    <row r="201" spans="1:27" s="121" customFormat="1" ht="54.95" customHeight="1">
      <c r="A201" s="3"/>
      <c r="B201" s="3"/>
      <c r="C201" s="125"/>
      <c r="D201" s="126"/>
      <c r="E201" s="126"/>
      <c r="F201" s="126"/>
      <c r="G201" s="126"/>
      <c r="H201" s="126"/>
      <c r="I201" s="126"/>
      <c r="J201" s="3"/>
      <c r="K201" s="3"/>
      <c r="L201" s="3"/>
      <c r="M201" s="2"/>
      <c r="N201" s="140"/>
      <c r="O201" s="140"/>
      <c r="P201" s="140"/>
      <c r="Q201" s="140"/>
      <c r="R201" s="140"/>
      <c r="S201" s="140"/>
      <c r="T201" s="140"/>
      <c r="U201" s="140"/>
      <c r="V201" s="140"/>
      <c r="W201" s="140"/>
      <c r="X201" s="141"/>
      <c r="Y201" s="141"/>
      <c r="Z201" s="141"/>
      <c r="AA201" s="2"/>
    </row>
    <row r="202" spans="1:27" s="121" customFormat="1" ht="54.95" customHeight="1">
      <c r="A202" s="3"/>
      <c r="B202" s="3"/>
      <c r="C202" s="125"/>
      <c r="D202" s="126"/>
      <c r="E202" s="126"/>
      <c r="F202" s="126"/>
      <c r="G202" s="126"/>
      <c r="H202" s="126"/>
      <c r="I202" s="126"/>
      <c r="J202" s="3"/>
      <c r="K202" s="3"/>
      <c r="L202" s="3"/>
      <c r="M202" s="2"/>
      <c r="N202" s="140"/>
      <c r="O202" s="140"/>
      <c r="P202" s="140"/>
      <c r="Q202" s="140"/>
      <c r="R202" s="140"/>
      <c r="S202" s="140"/>
      <c r="T202" s="140"/>
      <c r="U202" s="140"/>
      <c r="V202" s="140"/>
      <c r="W202" s="140"/>
      <c r="X202" s="141"/>
      <c r="Y202" s="141"/>
      <c r="Z202" s="141"/>
      <c r="AA202" s="2"/>
    </row>
    <row r="203" spans="1:27" s="121" customFormat="1" ht="54.95" customHeight="1">
      <c r="A203" s="3"/>
      <c r="B203" s="3"/>
      <c r="C203" s="125"/>
      <c r="D203" s="126"/>
      <c r="E203" s="126"/>
      <c r="F203" s="126"/>
      <c r="G203" s="126"/>
      <c r="H203" s="126"/>
      <c r="I203" s="126"/>
      <c r="J203" s="3"/>
      <c r="K203" s="3"/>
      <c r="L203" s="3"/>
      <c r="M203" s="2"/>
      <c r="N203" s="140"/>
      <c r="O203" s="140"/>
      <c r="P203" s="140"/>
      <c r="Q203" s="140"/>
      <c r="R203" s="140"/>
      <c r="S203" s="140"/>
      <c r="T203" s="140"/>
      <c r="U203" s="140"/>
      <c r="V203" s="140"/>
      <c r="W203" s="140"/>
      <c r="X203" s="141"/>
      <c r="Y203" s="141"/>
      <c r="Z203" s="141"/>
      <c r="AA203" s="2"/>
    </row>
    <row r="204" spans="1:27" s="121" customFormat="1" ht="54.95" customHeight="1">
      <c r="A204" s="3"/>
      <c r="B204" s="3"/>
      <c r="C204" s="125"/>
      <c r="D204" s="126"/>
      <c r="E204" s="126"/>
      <c r="F204" s="126"/>
      <c r="G204" s="126"/>
      <c r="H204" s="126"/>
      <c r="I204" s="126"/>
      <c r="J204" s="3"/>
      <c r="K204" s="3"/>
      <c r="L204" s="3"/>
      <c r="M204" s="2"/>
      <c r="N204" s="140"/>
      <c r="O204" s="140"/>
      <c r="P204" s="140"/>
      <c r="Q204" s="140"/>
      <c r="R204" s="140"/>
      <c r="S204" s="140"/>
      <c r="T204" s="140"/>
      <c r="U204" s="140"/>
      <c r="V204" s="140"/>
      <c r="W204" s="140"/>
      <c r="X204" s="141"/>
      <c r="Y204" s="141"/>
      <c r="Z204" s="141"/>
      <c r="AA204" s="2"/>
    </row>
    <row r="205" spans="1:27" s="121" customFormat="1" ht="54.95" customHeight="1">
      <c r="A205" s="3"/>
      <c r="B205" s="3"/>
      <c r="C205" s="125"/>
      <c r="D205" s="126"/>
      <c r="E205" s="126"/>
      <c r="F205" s="126"/>
      <c r="G205" s="126"/>
      <c r="H205" s="126"/>
      <c r="I205" s="126"/>
      <c r="J205" s="3"/>
      <c r="K205" s="3"/>
      <c r="L205" s="3"/>
      <c r="M205" s="2"/>
      <c r="N205" s="140"/>
      <c r="O205" s="140"/>
      <c r="P205" s="140"/>
      <c r="Q205" s="140"/>
      <c r="R205" s="140"/>
      <c r="S205" s="140"/>
      <c r="T205" s="140"/>
      <c r="U205" s="140"/>
      <c r="V205" s="140"/>
      <c r="W205" s="140"/>
      <c r="X205" s="141"/>
      <c r="Y205" s="141"/>
      <c r="Z205" s="141"/>
      <c r="AA205" s="2"/>
    </row>
    <row r="206" spans="1:27" s="121" customFormat="1" ht="54.95" customHeight="1">
      <c r="A206" s="3"/>
      <c r="B206" s="3"/>
      <c r="C206" s="125"/>
      <c r="D206" s="126"/>
      <c r="E206" s="126"/>
      <c r="F206" s="126"/>
      <c r="G206" s="126"/>
      <c r="H206" s="126"/>
      <c r="I206" s="126"/>
      <c r="J206" s="3"/>
      <c r="K206" s="3"/>
      <c r="L206" s="3"/>
      <c r="M206" s="2"/>
      <c r="N206" s="140"/>
      <c r="O206" s="140"/>
      <c r="P206" s="140"/>
      <c r="Q206" s="140"/>
      <c r="R206" s="140"/>
      <c r="S206" s="140"/>
      <c r="T206" s="140"/>
      <c r="U206" s="140"/>
      <c r="V206" s="140"/>
      <c r="W206" s="140"/>
      <c r="X206" s="141"/>
      <c r="Y206" s="141"/>
      <c r="Z206" s="141"/>
      <c r="AA206" s="2"/>
    </row>
    <row r="207" spans="1:27" s="121" customFormat="1" ht="54.95" customHeight="1">
      <c r="A207" s="3"/>
      <c r="B207" s="3"/>
      <c r="C207" s="125"/>
      <c r="D207" s="126"/>
      <c r="E207" s="126"/>
      <c r="F207" s="126"/>
      <c r="G207" s="126"/>
      <c r="H207" s="126"/>
      <c r="I207" s="126"/>
      <c r="J207" s="3"/>
      <c r="K207" s="3"/>
      <c r="L207" s="3"/>
      <c r="M207" s="2"/>
      <c r="N207" s="140"/>
      <c r="O207" s="140"/>
      <c r="P207" s="140"/>
      <c r="Q207" s="140"/>
      <c r="R207" s="140"/>
      <c r="S207" s="140"/>
      <c r="T207" s="140"/>
      <c r="U207" s="140"/>
      <c r="V207" s="140"/>
      <c r="W207" s="140"/>
      <c r="X207" s="141"/>
      <c r="Y207" s="141"/>
      <c r="Z207" s="141"/>
      <c r="AA207" s="2"/>
    </row>
    <row r="208" spans="1:27" s="121" customFormat="1" ht="54.95" customHeight="1">
      <c r="A208" s="3"/>
      <c r="B208" s="3"/>
      <c r="C208" s="125"/>
      <c r="D208" s="126"/>
      <c r="E208" s="126"/>
      <c r="F208" s="126"/>
      <c r="G208" s="126"/>
      <c r="H208" s="126"/>
      <c r="I208" s="126"/>
      <c r="J208" s="3"/>
      <c r="K208" s="3"/>
      <c r="L208" s="3"/>
      <c r="M208" s="2"/>
      <c r="N208" s="140"/>
      <c r="O208" s="140"/>
      <c r="P208" s="140"/>
      <c r="Q208" s="140"/>
      <c r="R208" s="140"/>
      <c r="S208" s="140"/>
      <c r="T208" s="140"/>
      <c r="U208" s="140"/>
      <c r="V208" s="140"/>
      <c r="W208" s="140"/>
      <c r="X208" s="141"/>
      <c r="Y208" s="141"/>
      <c r="Z208" s="141"/>
      <c r="AA208" s="2"/>
    </row>
    <row r="209" spans="1:27" s="121" customFormat="1" ht="54.95" customHeight="1">
      <c r="A209" s="3"/>
      <c r="B209" s="3"/>
      <c r="C209" s="125"/>
      <c r="D209" s="126"/>
      <c r="E209" s="126"/>
      <c r="F209" s="126"/>
      <c r="G209" s="126"/>
      <c r="H209" s="126"/>
      <c r="I209" s="126"/>
      <c r="J209" s="3"/>
      <c r="K209" s="3"/>
      <c r="L209" s="3"/>
      <c r="M209" s="2"/>
      <c r="N209" s="140"/>
      <c r="O209" s="140"/>
      <c r="P209" s="140"/>
      <c r="Q209" s="140"/>
      <c r="R209" s="140"/>
      <c r="S209" s="140"/>
      <c r="T209" s="140"/>
      <c r="U209" s="140"/>
      <c r="V209" s="140"/>
      <c r="W209" s="140"/>
      <c r="X209" s="141"/>
      <c r="Y209" s="141"/>
      <c r="Z209" s="141"/>
      <c r="AA209" s="2"/>
    </row>
    <row r="210" spans="1:27" s="121" customFormat="1" ht="54.95" customHeight="1">
      <c r="A210" s="3"/>
      <c r="B210" s="3"/>
      <c r="C210" s="125"/>
      <c r="D210" s="126"/>
      <c r="E210" s="126"/>
      <c r="F210" s="126"/>
      <c r="G210" s="126"/>
      <c r="H210" s="126"/>
      <c r="I210" s="126"/>
      <c r="J210" s="3"/>
      <c r="K210" s="3"/>
      <c r="L210" s="3"/>
      <c r="M210" s="2"/>
      <c r="N210" s="140"/>
      <c r="O210" s="140"/>
      <c r="P210" s="140"/>
      <c r="Q210" s="140"/>
      <c r="R210" s="140"/>
      <c r="S210" s="140"/>
      <c r="T210" s="140"/>
      <c r="U210" s="140"/>
      <c r="V210" s="140"/>
      <c r="W210" s="140"/>
      <c r="X210" s="141"/>
      <c r="Y210" s="141"/>
      <c r="Z210" s="141"/>
      <c r="AA210" s="2"/>
    </row>
    <row r="211" spans="1:27" s="121" customFormat="1" ht="54.95" customHeight="1">
      <c r="A211" s="3"/>
      <c r="B211" s="3"/>
      <c r="C211" s="125"/>
      <c r="D211" s="126"/>
      <c r="E211" s="126"/>
      <c r="F211" s="126"/>
      <c r="G211" s="126"/>
      <c r="H211" s="126"/>
      <c r="I211" s="126"/>
      <c r="J211" s="3"/>
      <c r="K211" s="3"/>
      <c r="L211" s="3"/>
      <c r="M211" s="2"/>
      <c r="N211" s="140"/>
      <c r="O211" s="140"/>
      <c r="P211" s="140"/>
      <c r="Q211" s="140"/>
      <c r="R211" s="140"/>
      <c r="S211" s="140"/>
      <c r="T211" s="140"/>
      <c r="U211" s="140"/>
      <c r="V211" s="140"/>
      <c r="W211" s="140"/>
      <c r="X211" s="141"/>
      <c r="Y211" s="141"/>
      <c r="Z211" s="141"/>
      <c r="AA211" s="2"/>
    </row>
    <row r="212" spans="1:27" s="121" customFormat="1" ht="54.95" customHeight="1">
      <c r="A212" s="3"/>
      <c r="B212" s="3"/>
      <c r="C212" s="125"/>
      <c r="D212" s="126"/>
      <c r="E212" s="126"/>
      <c r="F212" s="126"/>
      <c r="G212" s="126"/>
      <c r="H212" s="126"/>
      <c r="I212" s="126"/>
      <c r="J212" s="3"/>
      <c r="K212" s="3"/>
      <c r="L212" s="3"/>
      <c r="M212" s="2"/>
      <c r="N212" s="140"/>
      <c r="O212" s="140"/>
      <c r="P212" s="140"/>
      <c r="Q212" s="140"/>
      <c r="R212" s="140"/>
      <c r="S212" s="140"/>
      <c r="T212" s="140"/>
      <c r="U212" s="140"/>
      <c r="V212" s="140"/>
      <c r="W212" s="140"/>
      <c r="X212" s="141"/>
      <c r="Y212" s="141"/>
      <c r="Z212" s="141"/>
      <c r="AA212" s="2"/>
    </row>
    <row r="213" spans="1:27" s="121" customFormat="1" ht="54.95" customHeight="1">
      <c r="A213" s="3"/>
      <c r="B213" s="3"/>
      <c r="C213" s="125"/>
      <c r="D213" s="126"/>
      <c r="E213" s="126"/>
      <c r="F213" s="126"/>
      <c r="G213" s="126"/>
      <c r="H213" s="126"/>
      <c r="I213" s="126"/>
      <c r="J213" s="3"/>
      <c r="K213" s="3"/>
      <c r="L213" s="3"/>
      <c r="M213" s="2"/>
      <c r="N213" s="140"/>
      <c r="O213" s="140"/>
      <c r="P213" s="140"/>
      <c r="Q213" s="140"/>
      <c r="R213" s="140"/>
      <c r="S213" s="140"/>
      <c r="T213" s="140"/>
      <c r="U213" s="140"/>
      <c r="V213" s="140"/>
      <c r="W213" s="140"/>
      <c r="X213" s="141"/>
      <c r="Y213" s="141"/>
      <c r="Z213" s="141"/>
      <c r="AA213" s="2"/>
    </row>
    <row r="214" spans="1:27" s="121" customFormat="1" ht="54.95" customHeight="1">
      <c r="A214" s="3"/>
      <c r="B214" s="3"/>
      <c r="C214" s="125"/>
      <c r="D214" s="126"/>
      <c r="E214" s="126"/>
      <c r="F214" s="126"/>
      <c r="G214" s="126"/>
      <c r="H214" s="126"/>
      <c r="I214" s="126"/>
      <c r="J214" s="3"/>
      <c r="K214" s="3"/>
      <c r="L214" s="3"/>
      <c r="M214" s="2"/>
      <c r="N214" s="140"/>
      <c r="O214" s="140"/>
      <c r="P214" s="140"/>
      <c r="Q214" s="140"/>
      <c r="R214" s="140"/>
      <c r="S214" s="140"/>
      <c r="T214" s="140"/>
      <c r="U214" s="140"/>
      <c r="V214" s="140"/>
      <c r="W214" s="140"/>
      <c r="X214" s="141"/>
      <c r="Y214" s="141"/>
      <c r="Z214" s="141"/>
      <c r="AA214" s="2"/>
    </row>
    <row r="215" spans="1:27" s="121" customFormat="1" ht="54.95" customHeight="1">
      <c r="A215" s="3"/>
      <c r="B215" s="3"/>
      <c r="C215" s="125"/>
      <c r="D215" s="126"/>
      <c r="E215" s="126"/>
      <c r="F215" s="126"/>
      <c r="G215" s="126"/>
      <c r="H215" s="126"/>
      <c r="I215" s="126"/>
      <c r="J215" s="3"/>
      <c r="K215" s="3"/>
      <c r="L215" s="3"/>
      <c r="M215" s="2"/>
      <c r="N215" s="140"/>
      <c r="O215" s="140"/>
      <c r="P215" s="140"/>
      <c r="Q215" s="140"/>
      <c r="R215" s="140"/>
      <c r="S215" s="140"/>
      <c r="T215" s="140"/>
      <c r="U215" s="140"/>
      <c r="V215" s="140"/>
      <c r="W215" s="140"/>
      <c r="X215" s="141"/>
      <c r="Y215" s="141"/>
      <c r="Z215" s="141"/>
      <c r="AA215" s="2"/>
    </row>
    <row r="216" spans="1:27" s="121" customFormat="1" ht="54.95" customHeight="1">
      <c r="A216" s="3"/>
      <c r="B216" s="3"/>
      <c r="C216" s="125"/>
      <c r="D216" s="126"/>
      <c r="E216" s="126"/>
      <c r="F216" s="126"/>
      <c r="G216" s="126"/>
      <c r="H216" s="126"/>
      <c r="I216" s="126"/>
      <c r="J216" s="3"/>
      <c r="K216" s="3"/>
      <c r="L216" s="3"/>
      <c r="M216" s="2"/>
      <c r="N216" s="140"/>
      <c r="O216" s="140"/>
      <c r="P216" s="140"/>
      <c r="Q216" s="140"/>
      <c r="R216" s="140"/>
      <c r="S216" s="140"/>
      <c r="T216" s="140"/>
      <c r="U216" s="140"/>
      <c r="V216" s="140"/>
      <c r="W216" s="140"/>
      <c r="X216" s="141"/>
      <c r="Y216" s="141"/>
      <c r="Z216" s="141"/>
      <c r="AA216" s="2"/>
    </row>
    <row r="217" spans="1:27" s="121" customFormat="1" ht="54.95" customHeight="1">
      <c r="A217" s="3"/>
      <c r="B217" s="3"/>
      <c r="C217" s="125"/>
      <c r="D217" s="126"/>
      <c r="E217" s="126"/>
      <c r="F217" s="126"/>
      <c r="G217" s="126"/>
      <c r="H217" s="126"/>
      <c r="I217" s="126"/>
      <c r="J217" s="3"/>
      <c r="K217" s="3"/>
      <c r="L217" s="3"/>
      <c r="M217" s="2"/>
      <c r="N217" s="140"/>
      <c r="O217" s="140"/>
      <c r="P217" s="140"/>
      <c r="Q217" s="140"/>
      <c r="R217" s="140"/>
      <c r="S217" s="140"/>
      <c r="T217" s="140"/>
      <c r="U217" s="140"/>
      <c r="V217" s="140"/>
      <c r="W217" s="140"/>
      <c r="X217" s="141"/>
      <c r="Y217" s="141"/>
      <c r="Z217" s="141"/>
      <c r="AA217" s="2"/>
    </row>
    <row r="218" spans="1:27" s="121" customFormat="1" ht="54.95" customHeight="1">
      <c r="A218" s="3"/>
      <c r="B218" s="3"/>
      <c r="C218" s="125"/>
      <c r="D218" s="126"/>
      <c r="E218" s="126"/>
      <c r="F218" s="126"/>
      <c r="G218" s="126"/>
      <c r="H218" s="126"/>
      <c r="I218" s="126"/>
      <c r="J218" s="3"/>
      <c r="K218" s="3"/>
      <c r="L218" s="3"/>
      <c r="M218" s="2"/>
      <c r="N218" s="140"/>
      <c r="O218" s="140"/>
      <c r="P218" s="140"/>
      <c r="Q218" s="140"/>
      <c r="R218" s="140"/>
      <c r="S218" s="140"/>
      <c r="T218" s="140"/>
      <c r="U218" s="140"/>
      <c r="V218" s="140"/>
      <c r="W218" s="140"/>
      <c r="X218" s="141"/>
      <c r="Y218" s="141"/>
      <c r="Z218" s="141"/>
      <c r="AA218" s="2"/>
    </row>
    <row r="219" spans="1:27" s="121" customFormat="1" ht="54.95" customHeight="1">
      <c r="A219" s="3"/>
      <c r="B219" s="3"/>
      <c r="C219" s="125"/>
      <c r="D219" s="126"/>
      <c r="E219" s="126"/>
      <c r="F219" s="126"/>
      <c r="G219" s="126"/>
      <c r="H219" s="126"/>
      <c r="I219" s="126"/>
      <c r="J219" s="3"/>
      <c r="K219" s="3"/>
      <c r="L219" s="3"/>
      <c r="M219" s="2"/>
      <c r="N219" s="140"/>
      <c r="O219" s="140"/>
      <c r="P219" s="140"/>
      <c r="Q219" s="140"/>
      <c r="R219" s="140"/>
      <c r="S219" s="140"/>
      <c r="T219" s="140"/>
      <c r="U219" s="140"/>
      <c r="V219" s="140"/>
      <c r="W219" s="140"/>
      <c r="X219" s="141"/>
      <c r="Y219" s="141"/>
      <c r="Z219" s="141"/>
      <c r="AA219" s="2"/>
    </row>
    <row r="220" spans="1:27" s="121" customFormat="1" ht="54.95" customHeight="1">
      <c r="A220" s="3"/>
      <c r="B220" s="3"/>
      <c r="C220" s="125"/>
      <c r="D220" s="126"/>
      <c r="E220" s="126"/>
      <c r="F220" s="126"/>
      <c r="G220" s="126"/>
      <c r="H220" s="126"/>
      <c r="I220" s="126"/>
      <c r="J220" s="3"/>
      <c r="K220" s="3"/>
      <c r="L220" s="3"/>
      <c r="M220" s="2"/>
      <c r="N220" s="140"/>
      <c r="O220" s="140"/>
      <c r="P220" s="140"/>
      <c r="Q220" s="140"/>
      <c r="R220" s="140"/>
      <c r="S220" s="140"/>
      <c r="T220" s="140"/>
      <c r="U220" s="140"/>
      <c r="V220" s="140"/>
      <c r="W220" s="140"/>
      <c r="X220" s="141"/>
      <c r="Y220" s="141"/>
      <c r="Z220" s="141"/>
      <c r="AA220" s="2"/>
    </row>
    <row r="221" spans="1:27" s="121" customFormat="1" ht="54.95" customHeight="1">
      <c r="A221" s="3"/>
      <c r="B221" s="3"/>
      <c r="C221" s="125"/>
      <c r="D221" s="126"/>
      <c r="E221" s="126"/>
      <c r="F221" s="126"/>
      <c r="G221" s="126"/>
      <c r="H221" s="126"/>
      <c r="I221" s="126"/>
      <c r="J221" s="3"/>
      <c r="K221" s="3"/>
      <c r="L221" s="3"/>
      <c r="M221" s="2"/>
      <c r="N221" s="140"/>
      <c r="O221" s="140"/>
      <c r="P221" s="140"/>
      <c r="Q221" s="140"/>
      <c r="R221" s="140"/>
      <c r="S221" s="140"/>
      <c r="T221" s="140"/>
      <c r="U221" s="140"/>
      <c r="V221" s="140"/>
      <c r="W221" s="140"/>
      <c r="X221" s="141"/>
      <c r="Y221" s="141"/>
      <c r="Z221" s="141"/>
      <c r="AA221" s="2"/>
    </row>
    <row r="222" spans="1:27" s="121" customFormat="1" ht="54.95" customHeight="1">
      <c r="A222" s="3"/>
      <c r="B222" s="3"/>
      <c r="C222" s="125"/>
      <c r="D222" s="126"/>
      <c r="E222" s="126"/>
      <c r="F222" s="126"/>
      <c r="G222" s="126"/>
      <c r="H222" s="126"/>
      <c r="I222" s="126"/>
      <c r="J222" s="3"/>
      <c r="K222" s="3"/>
      <c r="L222" s="3"/>
      <c r="M222" s="2"/>
      <c r="N222" s="140"/>
      <c r="O222" s="140"/>
      <c r="P222" s="140"/>
      <c r="Q222" s="140"/>
      <c r="R222" s="140"/>
      <c r="S222" s="140"/>
      <c r="T222" s="140"/>
      <c r="U222" s="140"/>
      <c r="V222" s="140"/>
      <c r="W222" s="140"/>
      <c r="X222" s="141"/>
      <c r="Y222" s="141"/>
      <c r="Z222" s="141"/>
      <c r="AA222" s="2"/>
    </row>
    <row r="223" spans="1:27" s="121" customFormat="1" ht="54.95" customHeight="1">
      <c r="A223" s="3"/>
      <c r="B223" s="3"/>
      <c r="C223" s="125"/>
      <c r="D223" s="126"/>
      <c r="E223" s="126"/>
      <c r="F223" s="126"/>
      <c r="G223" s="126"/>
      <c r="H223" s="126"/>
      <c r="I223" s="126"/>
      <c r="J223" s="3"/>
      <c r="K223" s="3"/>
      <c r="L223" s="3"/>
      <c r="M223" s="2"/>
      <c r="N223" s="140"/>
      <c r="O223" s="140"/>
      <c r="P223" s="140"/>
      <c r="Q223" s="140"/>
      <c r="R223" s="140"/>
      <c r="S223" s="140"/>
      <c r="T223" s="140"/>
      <c r="U223" s="140"/>
      <c r="V223" s="140"/>
      <c r="W223" s="140"/>
      <c r="X223" s="141"/>
      <c r="Y223" s="141"/>
      <c r="Z223" s="141"/>
      <c r="AA223" s="2"/>
    </row>
    <row r="224" spans="1:27" s="121" customFormat="1" ht="54.95" customHeight="1">
      <c r="A224" s="3"/>
      <c r="B224" s="3"/>
      <c r="C224" s="125"/>
      <c r="D224" s="126"/>
      <c r="E224" s="126"/>
      <c r="F224" s="126"/>
      <c r="G224" s="126"/>
      <c r="H224" s="126"/>
      <c r="I224" s="126"/>
      <c r="J224" s="3"/>
      <c r="K224" s="3"/>
      <c r="L224" s="3"/>
      <c r="M224" s="2"/>
      <c r="N224" s="140"/>
      <c r="O224" s="140"/>
      <c r="P224" s="140"/>
      <c r="Q224" s="140"/>
      <c r="R224" s="140"/>
      <c r="S224" s="140"/>
      <c r="T224" s="140"/>
      <c r="U224" s="140"/>
      <c r="V224" s="140"/>
      <c r="W224" s="140"/>
      <c r="X224" s="141"/>
      <c r="Y224" s="141"/>
      <c r="Z224" s="141"/>
      <c r="AA224" s="2"/>
    </row>
    <row r="225" spans="1:27" s="121" customFormat="1" ht="54.95" customHeight="1">
      <c r="A225" s="3"/>
      <c r="B225" s="3"/>
      <c r="C225" s="125"/>
      <c r="D225" s="126"/>
      <c r="E225" s="126"/>
      <c r="F225" s="126"/>
      <c r="G225" s="126"/>
      <c r="H225" s="126"/>
      <c r="I225" s="126"/>
      <c r="J225" s="3"/>
      <c r="K225" s="3"/>
      <c r="L225" s="3"/>
      <c r="M225" s="2"/>
      <c r="N225" s="140"/>
      <c r="O225" s="140"/>
      <c r="P225" s="140"/>
      <c r="Q225" s="140"/>
      <c r="R225" s="140"/>
      <c r="S225" s="140"/>
      <c r="T225" s="140"/>
      <c r="U225" s="140"/>
      <c r="V225" s="140"/>
      <c r="W225" s="140"/>
      <c r="X225" s="141"/>
      <c r="Y225" s="141"/>
      <c r="Z225" s="141"/>
      <c r="AA225" s="2"/>
    </row>
    <row r="226" spans="1:27" s="121" customFormat="1" ht="54.95" customHeight="1">
      <c r="A226" s="3"/>
      <c r="B226" s="3"/>
      <c r="C226" s="125"/>
      <c r="D226" s="126"/>
      <c r="E226" s="126"/>
      <c r="F226" s="126"/>
      <c r="G226" s="126"/>
      <c r="H226" s="126"/>
      <c r="I226" s="126"/>
      <c r="J226" s="3"/>
      <c r="K226" s="3"/>
      <c r="L226" s="3"/>
      <c r="M226" s="2"/>
      <c r="N226" s="140"/>
      <c r="O226" s="140"/>
      <c r="P226" s="140"/>
      <c r="Q226" s="140"/>
      <c r="R226" s="140"/>
      <c r="S226" s="140"/>
      <c r="T226" s="140"/>
      <c r="U226" s="140"/>
      <c r="V226" s="140"/>
      <c r="W226" s="140"/>
      <c r="X226" s="141"/>
      <c r="Y226" s="141"/>
      <c r="Z226" s="141"/>
      <c r="AA226" s="2"/>
    </row>
    <row r="227" spans="1:27" s="121" customFormat="1" ht="54.95" customHeight="1">
      <c r="A227" s="3"/>
      <c r="B227" s="3"/>
      <c r="C227" s="125"/>
      <c r="D227" s="126"/>
      <c r="E227" s="126"/>
      <c r="F227" s="126"/>
      <c r="G227" s="126"/>
      <c r="H227" s="126"/>
      <c r="I227" s="126"/>
      <c r="J227" s="3"/>
      <c r="K227" s="3"/>
      <c r="L227" s="3"/>
      <c r="M227" s="2"/>
      <c r="N227" s="140"/>
      <c r="O227" s="140"/>
      <c r="P227" s="140"/>
      <c r="Q227" s="140"/>
      <c r="R227" s="140"/>
      <c r="S227" s="140"/>
      <c r="T227" s="140"/>
      <c r="U227" s="140"/>
      <c r="V227" s="140"/>
      <c r="W227" s="140"/>
      <c r="X227" s="141"/>
      <c r="Y227" s="141"/>
      <c r="Z227" s="141"/>
      <c r="AA227" s="2"/>
    </row>
    <row r="228" spans="1:27" s="121" customFormat="1" ht="54.95" customHeight="1">
      <c r="A228" s="3"/>
      <c r="B228" s="3"/>
      <c r="C228" s="125"/>
      <c r="D228" s="126"/>
      <c r="E228" s="126"/>
      <c r="F228" s="126"/>
      <c r="G228" s="126"/>
      <c r="H228" s="126"/>
      <c r="I228" s="126"/>
      <c r="J228" s="3"/>
      <c r="K228" s="3"/>
      <c r="L228" s="3"/>
      <c r="M228" s="2"/>
      <c r="N228" s="140"/>
      <c r="O228" s="140"/>
      <c r="P228" s="140"/>
      <c r="Q228" s="140"/>
      <c r="R228" s="140"/>
      <c r="S228" s="140"/>
      <c r="T228" s="140"/>
      <c r="U228" s="140"/>
      <c r="V228" s="140"/>
      <c r="W228" s="140"/>
      <c r="X228" s="141"/>
      <c r="Y228" s="141"/>
      <c r="Z228" s="141"/>
      <c r="AA228" s="2"/>
    </row>
    <row r="229" spans="1:27" s="121" customFormat="1" ht="54.95" customHeight="1">
      <c r="A229" s="3"/>
      <c r="B229" s="3"/>
      <c r="C229" s="125"/>
      <c r="D229" s="126"/>
      <c r="E229" s="126"/>
      <c r="F229" s="126"/>
      <c r="G229" s="126"/>
      <c r="H229" s="126"/>
      <c r="I229" s="126"/>
      <c r="J229" s="3"/>
      <c r="K229" s="3"/>
      <c r="L229" s="3"/>
      <c r="M229" s="2"/>
      <c r="N229" s="140"/>
      <c r="O229" s="140"/>
      <c r="P229" s="140"/>
      <c r="Q229" s="140"/>
      <c r="R229" s="140"/>
      <c r="S229" s="140"/>
      <c r="T229" s="140"/>
      <c r="U229" s="140"/>
      <c r="V229" s="140"/>
      <c r="W229" s="140"/>
      <c r="X229" s="141"/>
      <c r="Y229" s="141"/>
      <c r="Z229" s="141"/>
      <c r="AA229" s="2"/>
    </row>
    <row r="230" spans="1:27" s="121" customFormat="1" ht="54.95" customHeight="1">
      <c r="A230" s="3"/>
      <c r="B230" s="3"/>
      <c r="C230" s="125"/>
      <c r="D230" s="126"/>
      <c r="E230" s="126"/>
      <c r="F230" s="126"/>
      <c r="G230" s="126"/>
      <c r="H230" s="126"/>
      <c r="I230" s="126"/>
      <c r="J230" s="3"/>
      <c r="K230" s="3"/>
      <c r="L230" s="3"/>
      <c r="M230" s="2"/>
      <c r="N230" s="140"/>
      <c r="O230" s="140"/>
      <c r="P230" s="140"/>
      <c r="Q230" s="140"/>
      <c r="R230" s="140"/>
      <c r="S230" s="140"/>
      <c r="T230" s="140"/>
      <c r="U230" s="140"/>
      <c r="V230" s="140"/>
      <c r="W230" s="140"/>
      <c r="X230" s="141"/>
      <c r="Y230" s="141"/>
      <c r="Z230" s="141"/>
      <c r="AA230" s="2"/>
    </row>
    <row r="231" spans="1:27" s="121" customFormat="1" ht="54.95" customHeight="1">
      <c r="A231" s="3"/>
      <c r="B231" s="3"/>
      <c r="C231" s="125"/>
      <c r="D231" s="126"/>
      <c r="E231" s="126"/>
      <c r="F231" s="126"/>
      <c r="G231" s="126"/>
      <c r="H231" s="126"/>
      <c r="I231" s="126"/>
      <c r="J231" s="3"/>
      <c r="K231" s="3"/>
      <c r="L231" s="3"/>
      <c r="M231" s="2"/>
      <c r="N231" s="140"/>
      <c r="O231" s="140"/>
      <c r="P231" s="140"/>
      <c r="Q231" s="140"/>
      <c r="R231" s="140"/>
      <c r="S231" s="140"/>
      <c r="T231" s="140"/>
      <c r="U231" s="140"/>
      <c r="V231" s="140"/>
      <c r="W231" s="140"/>
      <c r="X231" s="141"/>
      <c r="Y231" s="141"/>
      <c r="Z231" s="141"/>
      <c r="AA231" s="2"/>
    </row>
    <row r="232" spans="1:27" s="121" customFormat="1" ht="54.95" customHeight="1">
      <c r="A232" s="3"/>
      <c r="B232" s="3"/>
      <c r="C232" s="125"/>
      <c r="D232" s="126"/>
      <c r="E232" s="126"/>
      <c r="F232" s="126"/>
      <c r="G232" s="126"/>
      <c r="H232" s="126"/>
      <c r="I232" s="126"/>
      <c r="J232" s="3"/>
      <c r="K232" s="3"/>
      <c r="L232" s="3"/>
      <c r="M232" s="2"/>
      <c r="N232" s="140"/>
      <c r="O232" s="140"/>
      <c r="P232" s="140"/>
      <c r="Q232" s="140"/>
      <c r="R232" s="140"/>
      <c r="S232" s="140"/>
      <c r="T232" s="140"/>
      <c r="U232" s="140"/>
      <c r="V232" s="140"/>
      <c r="W232" s="140"/>
      <c r="X232" s="141"/>
      <c r="Y232" s="141"/>
      <c r="Z232" s="141"/>
      <c r="AA232" s="2"/>
    </row>
    <row r="233" spans="1:27" s="121" customFormat="1" ht="54.95" customHeight="1">
      <c r="A233" s="3"/>
      <c r="B233" s="3"/>
      <c r="C233" s="125"/>
      <c r="D233" s="126"/>
      <c r="E233" s="126"/>
      <c r="F233" s="126"/>
      <c r="G233" s="126"/>
      <c r="H233" s="126"/>
      <c r="I233" s="126"/>
      <c r="J233" s="3"/>
      <c r="K233" s="3"/>
      <c r="L233" s="3"/>
      <c r="M233" s="2"/>
      <c r="N233" s="140"/>
      <c r="O233" s="140"/>
      <c r="P233" s="140"/>
      <c r="Q233" s="140"/>
      <c r="R233" s="140"/>
      <c r="S233" s="140"/>
      <c r="T233" s="140"/>
      <c r="U233" s="140"/>
      <c r="V233" s="140"/>
      <c r="W233" s="140"/>
      <c r="X233" s="141"/>
      <c r="Y233" s="141"/>
      <c r="Z233" s="141"/>
      <c r="AA233" s="2"/>
    </row>
    <row r="234" spans="1:27" s="121" customFormat="1" ht="54.95" customHeight="1">
      <c r="A234" s="3"/>
      <c r="B234" s="3"/>
      <c r="C234" s="125"/>
      <c r="D234" s="126"/>
      <c r="E234" s="126"/>
      <c r="F234" s="126"/>
      <c r="G234" s="126"/>
      <c r="H234" s="126"/>
      <c r="I234" s="126"/>
      <c r="J234" s="3"/>
      <c r="K234" s="3"/>
      <c r="L234" s="3"/>
      <c r="M234" s="2"/>
      <c r="N234" s="140"/>
      <c r="O234" s="140"/>
      <c r="P234" s="140"/>
      <c r="Q234" s="140"/>
      <c r="R234" s="140"/>
      <c r="S234" s="140"/>
      <c r="T234" s="140"/>
      <c r="U234" s="140"/>
      <c r="V234" s="140"/>
      <c r="W234" s="140"/>
      <c r="X234" s="141"/>
      <c r="Y234" s="141"/>
      <c r="Z234" s="141"/>
      <c r="AA234" s="2"/>
    </row>
    <row r="235" spans="1:27" s="121" customFormat="1" ht="54.95" customHeight="1">
      <c r="A235" s="3"/>
      <c r="B235" s="3"/>
      <c r="C235" s="125"/>
      <c r="D235" s="126"/>
      <c r="E235" s="126"/>
      <c r="F235" s="126"/>
      <c r="G235" s="126"/>
      <c r="H235" s="126"/>
      <c r="I235" s="126"/>
      <c r="J235" s="3"/>
      <c r="K235" s="3"/>
      <c r="L235" s="3"/>
      <c r="M235" s="2"/>
      <c r="N235" s="140"/>
      <c r="O235" s="140"/>
      <c r="P235" s="140"/>
      <c r="Q235" s="140"/>
      <c r="R235" s="140"/>
      <c r="S235" s="140"/>
      <c r="T235" s="140"/>
      <c r="U235" s="140"/>
      <c r="V235" s="140"/>
      <c r="W235" s="140"/>
      <c r="X235" s="141"/>
      <c r="Y235" s="141"/>
      <c r="Z235" s="141"/>
      <c r="AA235" s="2"/>
    </row>
    <row r="236" spans="1:27" s="121" customFormat="1" ht="54.95" customHeight="1">
      <c r="A236" s="3"/>
      <c r="B236" s="3"/>
      <c r="C236" s="125"/>
      <c r="D236" s="126"/>
      <c r="E236" s="126"/>
      <c r="F236" s="126"/>
      <c r="G236" s="126"/>
      <c r="H236" s="126"/>
      <c r="I236" s="126"/>
      <c r="J236" s="3"/>
      <c r="K236" s="3"/>
      <c r="L236" s="3"/>
      <c r="M236" s="2"/>
      <c r="N236" s="140"/>
      <c r="O236" s="140"/>
      <c r="P236" s="140"/>
      <c r="Q236" s="140"/>
      <c r="R236" s="140"/>
      <c r="S236" s="140"/>
      <c r="T236" s="140"/>
      <c r="U236" s="140"/>
      <c r="V236" s="140"/>
      <c r="W236" s="140"/>
      <c r="X236" s="141"/>
      <c r="Y236" s="141"/>
      <c r="Z236" s="141"/>
      <c r="AA236" s="2"/>
    </row>
    <row r="237" spans="1:27" s="121" customFormat="1" ht="54.95" customHeight="1">
      <c r="A237" s="3"/>
      <c r="B237" s="3"/>
      <c r="C237" s="125"/>
      <c r="D237" s="126"/>
      <c r="E237" s="126"/>
      <c r="F237" s="126"/>
      <c r="G237" s="126"/>
      <c r="H237" s="126"/>
      <c r="I237" s="126"/>
      <c r="J237" s="3"/>
      <c r="K237" s="3"/>
      <c r="L237" s="3"/>
      <c r="M237" s="2"/>
      <c r="N237" s="140"/>
      <c r="O237" s="140"/>
      <c r="P237" s="140"/>
      <c r="Q237" s="140"/>
      <c r="R237" s="140"/>
      <c r="S237" s="140"/>
      <c r="T237" s="140"/>
      <c r="U237" s="140"/>
      <c r="V237" s="140"/>
      <c r="W237" s="140"/>
      <c r="X237" s="141"/>
      <c r="Y237" s="141"/>
      <c r="Z237" s="141"/>
      <c r="AA237" s="2"/>
    </row>
    <row r="238" spans="1:27" s="121" customFormat="1" ht="54.95" customHeight="1">
      <c r="A238" s="3"/>
      <c r="B238" s="3"/>
      <c r="C238" s="125"/>
      <c r="D238" s="126"/>
      <c r="E238" s="126"/>
      <c r="F238" s="126"/>
      <c r="G238" s="126"/>
      <c r="H238" s="126"/>
      <c r="I238" s="126"/>
      <c r="J238" s="3"/>
      <c r="K238" s="3"/>
      <c r="L238" s="3"/>
      <c r="M238" s="2"/>
      <c r="N238" s="140"/>
      <c r="O238" s="140"/>
      <c r="P238" s="140"/>
      <c r="Q238" s="140"/>
      <c r="R238" s="140"/>
      <c r="S238" s="140"/>
      <c r="T238" s="140"/>
      <c r="U238" s="140"/>
      <c r="V238" s="140"/>
      <c r="W238" s="140"/>
      <c r="X238" s="141"/>
      <c r="Y238" s="141"/>
      <c r="Z238" s="141"/>
      <c r="AA238" s="2"/>
    </row>
    <row r="239" spans="1:27" s="121" customFormat="1" ht="54.95" customHeight="1">
      <c r="A239" s="3"/>
      <c r="B239" s="3"/>
      <c r="C239" s="125"/>
      <c r="D239" s="126"/>
      <c r="E239" s="126"/>
      <c r="F239" s="126"/>
      <c r="G239" s="126"/>
      <c r="H239" s="126"/>
      <c r="I239" s="126"/>
      <c r="J239" s="3"/>
      <c r="K239" s="3"/>
      <c r="L239" s="3"/>
      <c r="M239" s="2"/>
      <c r="N239" s="140"/>
      <c r="O239" s="140"/>
      <c r="P239" s="140"/>
      <c r="Q239" s="140"/>
      <c r="R239" s="140"/>
      <c r="S239" s="140"/>
      <c r="T239" s="140"/>
      <c r="U239" s="140"/>
      <c r="V239" s="140"/>
      <c r="W239" s="140"/>
      <c r="X239" s="141"/>
      <c r="Y239" s="141"/>
      <c r="Z239" s="141"/>
      <c r="AA239" s="2"/>
    </row>
    <row r="240" spans="1:27" s="121" customFormat="1" ht="54.95" customHeight="1">
      <c r="A240" s="3"/>
      <c r="B240" s="3"/>
      <c r="C240" s="125"/>
      <c r="D240" s="126"/>
      <c r="E240" s="126"/>
      <c r="F240" s="126"/>
      <c r="G240" s="126"/>
      <c r="H240" s="126"/>
      <c r="I240" s="126"/>
      <c r="J240" s="3"/>
      <c r="K240" s="3"/>
      <c r="L240" s="3"/>
      <c r="M240" s="2"/>
      <c r="N240" s="140"/>
      <c r="O240" s="140"/>
      <c r="P240" s="140"/>
      <c r="Q240" s="140"/>
      <c r="R240" s="140"/>
      <c r="S240" s="140"/>
      <c r="T240" s="140"/>
      <c r="U240" s="140"/>
      <c r="V240" s="140"/>
      <c r="W240" s="140"/>
      <c r="X240" s="141"/>
      <c r="Y240" s="141"/>
      <c r="Z240" s="141"/>
      <c r="AA240" s="2"/>
    </row>
    <row r="241" spans="1:27" s="121" customFormat="1" ht="54.95" customHeight="1">
      <c r="A241" s="3"/>
      <c r="B241" s="3"/>
      <c r="C241" s="125"/>
      <c r="D241" s="126"/>
      <c r="E241" s="126"/>
      <c r="F241" s="126"/>
      <c r="G241" s="126"/>
      <c r="H241" s="126"/>
      <c r="I241" s="126"/>
      <c r="J241" s="3"/>
      <c r="K241" s="3"/>
      <c r="L241" s="3"/>
      <c r="M241" s="2"/>
      <c r="N241" s="140"/>
      <c r="O241" s="140"/>
      <c r="P241" s="140"/>
      <c r="Q241" s="140"/>
      <c r="R241" s="140"/>
      <c r="S241" s="140"/>
      <c r="T241" s="140"/>
      <c r="U241" s="140"/>
      <c r="V241" s="140"/>
      <c r="W241" s="140"/>
      <c r="X241" s="141"/>
      <c r="Y241" s="141"/>
      <c r="Z241" s="141"/>
      <c r="AA241" s="2"/>
    </row>
    <row r="242" spans="1:27" s="121" customFormat="1" ht="54.95" customHeight="1">
      <c r="A242" s="3"/>
      <c r="B242" s="3"/>
      <c r="C242" s="125"/>
      <c r="D242" s="126"/>
      <c r="E242" s="126"/>
      <c r="F242" s="126"/>
      <c r="G242" s="126"/>
      <c r="H242" s="126"/>
      <c r="I242" s="126"/>
      <c r="J242" s="3"/>
      <c r="K242" s="3"/>
      <c r="L242" s="3"/>
      <c r="M242" s="2"/>
      <c r="N242" s="140"/>
      <c r="O242" s="140"/>
      <c r="P242" s="140"/>
      <c r="Q242" s="140"/>
      <c r="R242" s="140"/>
      <c r="S242" s="140"/>
      <c r="T242" s="140"/>
      <c r="U242" s="140"/>
      <c r="V242" s="140"/>
      <c r="W242" s="140"/>
      <c r="X242" s="141"/>
      <c r="Y242" s="141"/>
      <c r="Z242" s="141"/>
      <c r="AA242" s="2"/>
    </row>
    <row r="243" spans="1:27" s="121" customFormat="1" ht="54.95" customHeight="1">
      <c r="A243" s="3"/>
      <c r="B243" s="3"/>
      <c r="C243" s="125"/>
      <c r="D243" s="126"/>
      <c r="E243" s="126"/>
      <c r="F243" s="126"/>
      <c r="G243" s="126"/>
      <c r="H243" s="126"/>
      <c r="I243" s="126"/>
      <c r="J243" s="3"/>
      <c r="K243" s="3"/>
      <c r="L243" s="3"/>
      <c r="M243" s="2"/>
      <c r="N243" s="140"/>
      <c r="O243" s="140"/>
      <c r="P243" s="140"/>
      <c r="Q243" s="140"/>
      <c r="R243" s="140"/>
      <c r="S243" s="140"/>
      <c r="T243" s="140"/>
      <c r="U243" s="140"/>
      <c r="V243" s="140"/>
      <c r="W243" s="140"/>
      <c r="X243" s="141"/>
      <c r="Y243" s="141"/>
      <c r="Z243" s="141"/>
      <c r="AA243" s="2"/>
    </row>
    <row r="244" spans="1:27" s="121" customFormat="1" ht="54.95" customHeight="1">
      <c r="A244" s="3"/>
      <c r="B244" s="3"/>
      <c r="C244" s="125"/>
      <c r="D244" s="126"/>
      <c r="E244" s="126"/>
      <c r="F244" s="126"/>
      <c r="G244" s="126"/>
      <c r="H244" s="126"/>
      <c r="I244" s="126"/>
      <c r="J244" s="3"/>
      <c r="K244" s="3"/>
      <c r="L244" s="3"/>
      <c r="M244" s="2"/>
      <c r="N244" s="140"/>
      <c r="O244" s="140"/>
      <c r="P244" s="140"/>
      <c r="Q244" s="140"/>
      <c r="R244" s="140"/>
      <c r="S244" s="140"/>
      <c r="T244" s="140"/>
      <c r="U244" s="140"/>
      <c r="V244" s="140"/>
      <c r="W244" s="140"/>
      <c r="X244" s="141"/>
      <c r="Y244" s="141"/>
      <c r="Z244" s="141"/>
      <c r="AA244" s="2"/>
    </row>
    <row r="245" spans="1:27" s="121" customFormat="1" ht="54.95" customHeight="1">
      <c r="A245" s="3"/>
      <c r="B245" s="3"/>
      <c r="C245" s="125"/>
      <c r="D245" s="126"/>
      <c r="E245" s="126"/>
      <c r="F245" s="126"/>
      <c r="G245" s="126"/>
      <c r="H245" s="126"/>
      <c r="I245" s="126"/>
      <c r="J245" s="3"/>
      <c r="K245" s="3"/>
      <c r="L245" s="3"/>
      <c r="M245" s="2"/>
      <c r="N245" s="140"/>
      <c r="O245" s="140"/>
      <c r="P245" s="140"/>
      <c r="Q245" s="140"/>
      <c r="R245" s="140"/>
      <c r="S245" s="140"/>
      <c r="T245" s="140"/>
      <c r="U245" s="140"/>
      <c r="V245" s="140"/>
      <c r="W245" s="140"/>
      <c r="X245" s="141"/>
      <c r="Y245" s="141"/>
      <c r="Z245" s="141"/>
      <c r="AA245" s="2"/>
    </row>
    <row r="246" spans="1:27" s="121" customFormat="1" ht="54.95" customHeight="1">
      <c r="A246" s="3"/>
      <c r="B246" s="3"/>
      <c r="C246" s="125"/>
      <c r="D246" s="126"/>
      <c r="E246" s="126"/>
      <c r="F246" s="126"/>
      <c r="G246" s="126"/>
      <c r="H246" s="126"/>
      <c r="I246" s="126"/>
      <c r="J246" s="3"/>
      <c r="K246" s="3"/>
      <c r="L246" s="3"/>
      <c r="M246" s="2"/>
      <c r="N246" s="140"/>
      <c r="O246" s="140"/>
      <c r="P246" s="140"/>
      <c r="Q246" s="140"/>
      <c r="R246" s="140"/>
      <c r="S246" s="140"/>
      <c r="T246" s="140"/>
      <c r="U246" s="140"/>
      <c r="V246" s="140"/>
      <c r="W246" s="140"/>
      <c r="X246" s="141"/>
      <c r="Y246" s="141"/>
      <c r="Z246" s="141"/>
      <c r="AA246" s="2"/>
    </row>
    <row r="247" spans="1:27" s="121" customFormat="1" ht="54.95" customHeight="1">
      <c r="A247" s="3"/>
      <c r="B247" s="3"/>
      <c r="C247" s="125"/>
      <c r="D247" s="126"/>
      <c r="E247" s="126"/>
      <c r="F247" s="126"/>
      <c r="G247" s="126"/>
      <c r="H247" s="126"/>
      <c r="I247" s="126"/>
      <c r="J247" s="3"/>
      <c r="K247" s="3"/>
      <c r="L247" s="3"/>
      <c r="M247" s="2"/>
      <c r="N247" s="140"/>
      <c r="O247" s="140"/>
      <c r="P247" s="140"/>
      <c r="Q247" s="140"/>
      <c r="R247" s="140"/>
      <c r="S247" s="140"/>
      <c r="T247" s="140"/>
      <c r="U247" s="140"/>
      <c r="V247" s="140"/>
      <c r="W247" s="140"/>
      <c r="X247" s="141"/>
      <c r="Y247" s="141"/>
      <c r="Z247" s="141"/>
      <c r="AA247" s="2"/>
    </row>
    <row r="248" spans="1:27" s="121" customFormat="1" ht="54.95" customHeight="1">
      <c r="A248" s="3"/>
      <c r="B248" s="3"/>
      <c r="C248" s="125"/>
      <c r="D248" s="126"/>
      <c r="E248" s="126"/>
      <c r="F248" s="126"/>
      <c r="G248" s="126"/>
      <c r="H248" s="126"/>
      <c r="I248" s="126"/>
      <c r="J248" s="3"/>
      <c r="K248" s="3"/>
      <c r="L248" s="3"/>
      <c r="M248" s="2"/>
      <c r="N248" s="140"/>
      <c r="O248" s="140"/>
      <c r="P248" s="140"/>
      <c r="Q248" s="140"/>
      <c r="R248" s="140"/>
      <c r="S248" s="140"/>
      <c r="T248" s="140"/>
      <c r="U248" s="140"/>
      <c r="V248" s="140"/>
      <c r="W248" s="140"/>
      <c r="X248" s="141"/>
      <c r="Y248" s="141"/>
      <c r="Z248" s="141"/>
      <c r="AA248" s="2"/>
    </row>
    <row r="249" spans="1:27" s="121" customFormat="1" ht="54.95" customHeight="1">
      <c r="A249" s="3"/>
      <c r="B249" s="3"/>
      <c r="C249" s="125"/>
      <c r="D249" s="126"/>
      <c r="E249" s="126"/>
      <c r="F249" s="126"/>
      <c r="G249" s="126"/>
      <c r="H249" s="126"/>
      <c r="I249" s="126"/>
      <c r="J249" s="3"/>
      <c r="K249" s="3"/>
      <c r="L249" s="3"/>
      <c r="M249" s="2"/>
      <c r="N249" s="140"/>
      <c r="O249" s="140"/>
      <c r="P249" s="140"/>
      <c r="Q249" s="140"/>
      <c r="R249" s="140"/>
      <c r="S249" s="140"/>
      <c r="T249" s="140"/>
      <c r="U249" s="140"/>
      <c r="V249" s="140"/>
      <c r="W249" s="140"/>
      <c r="X249" s="141"/>
      <c r="Y249" s="141"/>
      <c r="Z249" s="141"/>
      <c r="AA249" s="2"/>
    </row>
    <row r="250" spans="1:27" s="121" customFormat="1" ht="54.95" customHeight="1">
      <c r="A250" s="3"/>
      <c r="B250" s="3"/>
      <c r="C250" s="125"/>
      <c r="D250" s="126"/>
      <c r="E250" s="126"/>
      <c r="F250" s="126"/>
      <c r="G250" s="126"/>
      <c r="H250" s="126"/>
      <c r="I250" s="126"/>
      <c r="J250" s="3"/>
      <c r="K250" s="3"/>
      <c r="L250" s="3"/>
      <c r="M250" s="2"/>
      <c r="N250" s="140"/>
      <c r="O250" s="140"/>
      <c r="P250" s="140"/>
      <c r="Q250" s="140"/>
      <c r="R250" s="140"/>
      <c r="S250" s="140"/>
      <c r="T250" s="140"/>
      <c r="U250" s="140"/>
      <c r="V250" s="140"/>
      <c r="W250" s="140"/>
      <c r="X250" s="141"/>
      <c r="Y250" s="141"/>
      <c r="Z250" s="141"/>
      <c r="AA250" s="2"/>
    </row>
    <row r="251" spans="1:27" s="121" customFormat="1" ht="54.95" customHeight="1">
      <c r="A251" s="3"/>
      <c r="B251" s="3"/>
      <c r="C251" s="125"/>
      <c r="D251" s="126"/>
      <c r="E251" s="126"/>
      <c r="F251" s="126"/>
      <c r="G251" s="126"/>
      <c r="H251" s="126"/>
      <c r="I251" s="126"/>
      <c r="J251" s="3"/>
      <c r="K251" s="3"/>
      <c r="L251" s="3"/>
      <c r="M251" s="2"/>
      <c r="N251" s="140"/>
      <c r="O251" s="140"/>
      <c r="P251" s="140"/>
      <c r="Q251" s="140"/>
      <c r="R251" s="140"/>
      <c r="S251" s="140"/>
      <c r="T251" s="140"/>
      <c r="U251" s="140"/>
      <c r="V251" s="140"/>
      <c r="W251" s="140"/>
      <c r="X251" s="141"/>
      <c r="Y251" s="141"/>
      <c r="Z251" s="141"/>
      <c r="AA251" s="2"/>
    </row>
    <row r="252" spans="1:27" s="121" customFormat="1" ht="54.95" customHeight="1">
      <c r="A252" s="3"/>
      <c r="B252" s="3"/>
      <c r="C252" s="125"/>
      <c r="D252" s="126"/>
      <c r="E252" s="126"/>
      <c r="F252" s="126"/>
      <c r="G252" s="126"/>
      <c r="H252" s="126"/>
      <c r="I252" s="126"/>
      <c r="J252" s="3"/>
      <c r="K252" s="3"/>
      <c r="L252" s="3"/>
      <c r="M252" s="2"/>
      <c r="N252" s="140"/>
      <c r="O252" s="140"/>
      <c r="P252" s="140"/>
      <c r="Q252" s="140"/>
      <c r="R252" s="140"/>
      <c r="S252" s="140"/>
      <c r="T252" s="140"/>
      <c r="U252" s="140"/>
      <c r="V252" s="140"/>
      <c r="W252" s="140"/>
      <c r="X252" s="141"/>
      <c r="Y252" s="141"/>
      <c r="Z252" s="141"/>
      <c r="AA252" s="2"/>
    </row>
    <row r="253" spans="1:27" s="121" customFormat="1" ht="54.95" customHeight="1">
      <c r="A253" s="3"/>
      <c r="B253" s="3"/>
      <c r="C253" s="125"/>
      <c r="D253" s="126"/>
      <c r="E253" s="126"/>
      <c r="F253" s="126"/>
      <c r="G253" s="126"/>
      <c r="H253" s="126"/>
      <c r="I253" s="126"/>
      <c r="J253" s="3"/>
      <c r="K253" s="3"/>
      <c r="L253" s="3"/>
      <c r="M253" s="2"/>
      <c r="N253" s="140"/>
      <c r="O253" s="140"/>
      <c r="P253" s="140"/>
      <c r="Q253" s="140"/>
      <c r="R253" s="140"/>
      <c r="S253" s="140"/>
      <c r="T253" s="140"/>
      <c r="U253" s="140"/>
      <c r="V253" s="140"/>
      <c r="W253" s="140"/>
      <c r="X253" s="141"/>
      <c r="Y253" s="141"/>
      <c r="Z253" s="141"/>
      <c r="AA253" s="2"/>
    </row>
    <row r="254" spans="1:27" s="121" customFormat="1" ht="54.95" customHeight="1">
      <c r="A254" s="3"/>
      <c r="B254" s="3"/>
      <c r="C254" s="125"/>
      <c r="D254" s="126"/>
      <c r="E254" s="126"/>
      <c r="F254" s="126"/>
      <c r="G254" s="126"/>
      <c r="H254" s="126"/>
      <c r="I254" s="126"/>
      <c r="J254" s="3"/>
      <c r="K254" s="3"/>
      <c r="L254" s="3"/>
      <c r="M254" s="2"/>
      <c r="N254" s="140"/>
      <c r="O254" s="140"/>
      <c r="P254" s="140"/>
      <c r="Q254" s="140"/>
      <c r="R254" s="140"/>
      <c r="S254" s="140"/>
      <c r="T254" s="140"/>
      <c r="U254" s="140"/>
      <c r="V254" s="140"/>
      <c r="W254" s="140"/>
      <c r="X254" s="141"/>
      <c r="Y254" s="141"/>
      <c r="Z254" s="141"/>
      <c r="AA254" s="2"/>
    </row>
    <row r="255" spans="1:27" s="121" customFormat="1" ht="54.95" customHeight="1">
      <c r="A255" s="3"/>
      <c r="B255" s="3"/>
      <c r="C255" s="125"/>
      <c r="D255" s="126"/>
      <c r="E255" s="126"/>
      <c r="F255" s="126"/>
      <c r="G255" s="126"/>
      <c r="H255" s="126"/>
      <c r="I255" s="126"/>
      <c r="J255" s="3"/>
      <c r="K255" s="3"/>
      <c r="L255" s="3"/>
      <c r="M255" s="2"/>
      <c r="N255" s="140"/>
      <c r="O255" s="140"/>
      <c r="P255" s="140"/>
      <c r="Q255" s="140"/>
      <c r="R255" s="140"/>
      <c r="S255" s="140"/>
      <c r="T255" s="140"/>
      <c r="U255" s="140"/>
      <c r="V255" s="140"/>
      <c r="W255" s="140"/>
      <c r="X255" s="141"/>
      <c r="Y255" s="141"/>
      <c r="Z255" s="141"/>
      <c r="AA255" s="2"/>
    </row>
    <row r="256" spans="1:27" s="121" customFormat="1" ht="54.95" customHeight="1">
      <c r="A256" s="3"/>
      <c r="B256" s="3"/>
      <c r="C256" s="125"/>
      <c r="D256" s="126"/>
      <c r="E256" s="126"/>
      <c r="F256" s="126"/>
      <c r="G256" s="126"/>
      <c r="H256" s="126"/>
      <c r="I256" s="126"/>
      <c r="J256" s="3"/>
      <c r="K256" s="3"/>
      <c r="L256" s="3"/>
      <c r="M256" s="2"/>
      <c r="N256" s="140"/>
      <c r="O256" s="140"/>
      <c r="P256" s="140"/>
      <c r="Q256" s="140"/>
      <c r="R256" s="140"/>
      <c r="S256" s="140"/>
      <c r="T256" s="140"/>
      <c r="U256" s="140"/>
      <c r="V256" s="140"/>
      <c r="W256" s="140"/>
      <c r="X256" s="141"/>
      <c r="Y256" s="141"/>
      <c r="Z256" s="141"/>
      <c r="AA256" s="2"/>
    </row>
    <row r="257" spans="1:27" s="121" customFormat="1" ht="54.95" customHeight="1">
      <c r="A257" s="3"/>
      <c r="B257" s="3"/>
      <c r="C257" s="125"/>
      <c r="D257" s="126"/>
      <c r="E257" s="126"/>
      <c r="F257" s="126"/>
      <c r="G257" s="126"/>
      <c r="H257" s="126"/>
      <c r="I257" s="126"/>
      <c r="J257" s="3"/>
      <c r="K257" s="3"/>
      <c r="L257" s="3"/>
      <c r="M257" s="2"/>
      <c r="N257" s="140"/>
      <c r="O257" s="140"/>
      <c r="P257" s="140"/>
      <c r="Q257" s="140"/>
      <c r="R257" s="140"/>
      <c r="S257" s="140"/>
      <c r="T257" s="140"/>
      <c r="U257" s="140"/>
      <c r="V257" s="140"/>
      <c r="W257" s="140"/>
      <c r="X257" s="141"/>
      <c r="Y257" s="141"/>
      <c r="Z257" s="141"/>
      <c r="AA257" s="2"/>
    </row>
    <row r="258" spans="1:27" s="121" customFormat="1" ht="54.95" customHeight="1">
      <c r="A258" s="3"/>
      <c r="B258" s="3"/>
      <c r="C258" s="125"/>
      <c r="D258" s="126"/>
      <c r="E258" s="126"/>
      <c r="F258" s="126"/>
      <c r="G258" s="126"/>
      <c r="H258" s="126"/>
      <c r="I258" s="126"/>
      <c r="J258" s="3"/>
      <c r="K258" s="3"/>
      <c r="L258" s="3"/>
      <c r="M258" s="2"/>
      <c r="N258" s="140"/>
      <c r="O258" s="140"/>
      <c r="P258" s="140"/>
      <c r="Q258" s="140"/>
      <c r="R258" s="140"/>
      <c r="S258" s="140"/>
      <c r="T258" s="140"/>
      <c r="U258" s="140"/>
      <c r="V258" s="140"/>
      <c r="W258" s="140"/>
      <c r="X258" s="141"/>
      <c r="Y258" s="141"/>
      <c r="Z258" s="141"/>
      <c r="AA258" s="2"/>
    </row>
    <row r="259" spans="1:27" s="121" customFormat="1" ht="54.95" customHeight="1">
      <c r="A259" s="3"/>
      <c r="B259" s="3"/>
      <c r="C259" s="125"/>
      <c r="D259" s="126"/>
      <c r="E259" s="126"/>
      <c r="F259" s="126"/>
      <c r="G259" s="126"/>
      <c r="H259" s="126"/>
      <c r="I259" s="126"/>
      <c r="J259" s="3"/>
      <c r="K259" s="3"/>
      <c r="L259" s="3"/>
      <c r="M259" s="2"/>
      <c r="N259" s="140"/>
      <c r="O259" s="140"/>
      <c r="P259" s="140"/>
      <c r="Q259" s="140"/>
      <c r="R259" s="140"/>
      <c r="S259" s="140"/>
      <c r="T259" s="140"/>
      <c r="U259" s="140"/>
      <c r="V259" s="140"/>
      <c r="W259" s="140"/>
      <c r="X259" s="141"/>
      <c r="Y259" s="141"/>
      <c r="Z259" s="141"/>
      <c r="AA259" s="2"/>
    </row>
    <row r="260" spans="1:27" s="121" customFormat="1" ht="54.95" customHeight="1">
      <c r="A260" s="3"/>
      <c r="B260" s="3"/>
      <c r="C260" s="125"/>
      <c r="D260" s="126"/>
      <c r="E260" s="126"/>
      <c r="F260" s="126"/>
      <c r="G260" s="126"/>
      <c r="H260" s="126"/>
      <c r="I260" s="126"/>
      <c r="J260" s="3"/>
      <c r="K260" s="3"/>
      <c r="L260" s="3"/>
      <c r="M260" s="2"/>
      <c r="N260" s="140"/>
      <c r="O260" s="140"/>
      <c r="P260" s="140"/>
      <c r="Q260" s="140"/>
      <c r="R260" s="140"/>
      <c r="S260" s="140"/>
      <c r="T260" s="140"/>
      <c r="U260" s="140"/>
      <c r="V260" s="140"/>
      <c r="W260" s="140"/>
      <c r="X260" s="141"/>
      <c r="Y260" s="141"/>
      <c r="Z260" s="141"/>
      <c r="AA260" s="2"/>
    </row>
    <row r="261" spans="1:27" s="121" customFormat="1" ht="54.95" customHeight="1">
      <c r="A261" s="3"/>
      <c r="B261" s="3"/>
      <c r="C261" s="125"/>
      <c r="D261" s="126"/>
      <c r="E261" s="126"/>
      <c r="F261" s="126"/>
      <c r="G261" s="126"/>
      <c r="H261" s="126"/>
      <c r="I261" s="126"/>
      <c r="J261" s="3"/>
      <c r="K261" s="3"/>
      <c r="L261" s="3"/>
      <c r="M261" s="2"/>
      <c r="N261" s="140"/>
      <c r="O261" s="140"/>
      <c r="P261" s="140"/>
      <c r="Q261" s="140"/>
      <c r="R261" s="140"/>
      <c r="S261" s="140"/>
      <c r="T261" s="140"/>
      <c r="U261" s="140"/>
      <c r="V261" s="140"/>
      <c r="W261" s="140"/>
      <c r="X261" s="141"/>
      <c r="Y261" s="141"/>
      <c r="Z261" s="141"/>
      <c r="AA261" s="2"/>
    </row>
    <row r="262" spans="1:27" s="121" customFormat="1" ht="54.95" customHeight="1">
      <c r="A262" s="3"/>
      <c r="B262" s="3"/>
      <c r="C262" s="125"/>
      <c r="D262" s="126"/>
      <c r="E262" s="126"/>
      <c r="F262" s="126"/>
      <c r="G262" s="126"/>
      <c r="H262" s="126"/>
      <c r="I262" s="126"/>
      <c r="J262" s="3"/>
      <c r="K262" s="3"/>
      <c r="L262" s="3"/>
      <c r="M262" s="2"/>
      <c r="N262" s="140"/>
      <c r="O262" s="140"/>
      <c r="P262" s="140"/>
      <c r="Q262" s="140"/>
      <c r="R262" s="140"/>
      <c r="S262" s="140"/>
      <c r="T262" s="140"/>
      <c r="U262" s="140"/>
      <c r="V262" s="140"/>
      <c r="W262" s="140"/>
      <c r="X262" s="141"/>
      <c r="Y262" s="141"/>
      <c r="Z262" s="141"/>
      <c r="AA262" s="2"/>
    </row>
    <row r="263" spans="1:27" s="121" customFormat="1" ht="54.95" customHeight="1">
      <c r="A263" s="3"/>
      <c r="B263" s="3"/>
      <c r="C263" s="125"/>
      <c r="D263" s="126"/>
      <c r="E263" s="126"/>
      <c r="F263" s="126"/>
      <c r="G263" s="126"/>
      <c r="H263" s="126"/>
      <c r="I263" s="126"/>
      <c r="J263" s="3"/>
      <c r="K263" s="3"/>
      <c r="L263" s="3"/>
      <c r="M263" s="2"/>
      <c r="N263" s="140"/>
      <c r="O263" s="140"/>
      <c r="P263" s="140"/>
      <c r="Q263" s="140"/>
      <c r="R263" s="140"/>
      <c r="S263" s="140"/>
      <c r="T263" s="140"/>
      <c r="U263" s="140"/>
      <c r="V263" s="140"/>
      <c r="W263" s="140"/>
      <c r="X263" s="141"/>
      <c r="Y263" s="141"/>
      <c r="Z263" s="141"/>
      <c r="AA263" s="2"/>
    </row>
    <row r="264" spans="1:27" s="121" customFormat="1" ht="54.95" customHeight="1">
      <c r="A264" s="3"/>
      <c r="B264" s="3"/>
      <c r="C264" s="125"/>
      <c r="D264" s="126"/>
      <c r="E264" s="126"/>
      <c r="F264" s="126"/>
      <c r="G264" s="126"/>
      <c r="H264" s="126"/>
      <c r="I264" s="126"/>
      <c r="J264" s="3"/>
      <c r="K264" s="3"/>
      <c r="L264" s="3"/>
      <c r="M264" s="2"/>
      <c r="N264" s="140"/>
      <c r="O264" s="140"/>
      <c r="P264" s="140"/>
      <c r="Q264" s="140"/>
      <c r="R264" s="140"/>
      <c r="S264" s="140"/>
      <c r="T264" s="140"/>
      <c r="U264" s="140"/>
      <c r="V264" s="140"/>
      <c r="W264" s="140"/>
      <c r="X264" s="141"/>
      <c r="Y264" s="141"/>
      <c r="Z264" s="141"/>
      <c r="AA264" s="2"/>
    </row>
    <row r="265" spans="1:27" s="121" customFormat="1" ht="54.95" customHeight="1">
      <c r="A265" s="3"/>
      <c r="B265" s="3"/>
      <c r="C265" s="125"/>
      <c r="D265" s="126"/>
      <c r="E265" s="126"/>
      <c r="F265" s="126"/>
      <c r="G265" s="126"/>
      <c r="H265" s="126"/>
      <c r="I265" s="126"/>
      <c r="J265" s="3"/>
      <c r="K265" s="3"/>
      <c r="L265" s="3"/>
      <c r="M265" s="2"/>
      <c r="N265" s="140"/>
      <c r="O265" s="140"/>
      <c r="P265" s="140"/>
      <c r="Q265" s="140"/>
      <c r="R265" s="140"/>
      <c r="S265" s="140"/>
      <c r="T265" s="140"/>
      <c r="U265" s="140"/>
      <c r="V265" s="140"/>
      <c r="W265" s="140"/>
      <c r="X265" s="141"/>
      <c r="Y265" s="141"/>
      <c r="Z265" s="141"/>
      <c r="AA265" s="2"/>
    </row>
    <row r="266" spans="1:27" s="121" customFormat="1" ht="54.95" customHeight="1">
      <c r="A266" s="3"/>
      <c r="B266" s="3"/>
      <c r="C266" s="125"/>
      <c r="D266" s="126"/>
      <c r="E266" s="126"/>
      <c r="F266" s="126"/>
      <c r="G266" s="126"/>
      <c r="H266" s="126"/>
      <c r="I266" s="126"/>
      <c r="J266" s="3"/>
      <c r="K266" s="3"/>
      <c r="L266" s="3"/>
      <c r="M266" s="2"/>
      <c r="N266" s="140"/>
      <c r="O266" s="140"/>
      <c r="P266" s="140"/>
      <c r="Q266" s="140"/>
      <c r="R266" s="140"/>
      <c r="S266" s="140"/>
      <c r="T266" s="140"/>
      <c r="U266" s="140"/>
      <c r="V266" s="140"/>
      <c r="W266" s="140"/>
      <c r="X266" s="141"/>
      <c r="Y266" s="141"/>
      <c r="Z266" s="141"/>
      <c r="AA266" s="2"/>
    </row>
    <row r="267" spans="1:27" s="121" customFormat="1" ht="54.95" customHeight="1">
      <c r="A267" s="3"/>
      <c r="B267" s="3"/>
      <c r="C267" s="125"/>
      <c r="D267" s="126"/>
      <c r="E267" s="126"/>
      <c r="F267" s="126"/>
      <c r="G267" s="126"/>
      <c r="H267" s="126"/>
      <c r="I267" s="126"/>
      <c r="J267" s="3"/>
      <c r="K267" s="3"/>
      <c r="L267" s="3"/>
      <c r="M267" s="2"/>
      <c r="N267" s="140"/>
      <c r="O267" s="140"/>
      <c r="P267" s="140"/>
      <c r="Q267" s="140"/>
      <c r="R267" s="140"/>
      <c r="S267" s="140"/>
      <c r="T267" s="140"/>
      <c r="U267" s="140"/>
      <c r="V267" s="140"/>
      <c r="W267" s="140"/>
      <c r="X267" s="141"/>
      <c r="Y267" s="141"/>
      <c r="Z267" s="141"/>
      <c r="AA267" s="2"/>
    </row>
    <row r="268" spans="1:27" s="121" customFormat="1" ht="54.95" customHeight="1">
      <c r="A268" s="3"/>
      <c r="B268" s="3"/>
      <c r="C268" s="125"/>
      <c r="D268" s="126"/>
      <c r="E268" s="126"/>
      <c r="F268" s="126"/>
      <c r="G268" s="126"/>
      <c r="H268" s="126"/>
      <c r="I268" s="126"/>
      <c r="J268" s="3"/>
      <c r="K268" s="3"/>
      <c r="L268" s="3"/>
      <c r="M268" s="2"/>
      <c r="N268" s="140"/>
      <c r="O268" s="140"/>
      <c r="P268" s="140"/>
      <c r="Q268" s="140"/>
      <c r="R268" s="140"/>
      <c r="S268" s="140"/>
      <c r="T268" s="140"/>
      <c r="U268" s="140"/>
      <c r="V268" s="140"/>
      <c r="W268" s="140"/>
      <c r="X268" s="141"/>
      <c r="Y268" s="141"/>
      <c r="Z268" s="141"/>
      <c r="AA268" s="2"/>
    </row>
    <row r="269" spans="1:27" s="121" customFormat="1" ht="54.95" customHeight="1">
      <c r="A269" s="3"/>
      <c r="B269" s="3"/>
      <c r="C269" s="125"/>
      <c r="D269" s="126"/>
      <c r="E269" s="126"/>
      <c r="F269" s="126"/>
      <c r="G269" s="126"/>
      <c r="H269" s="126"/>
      <c r="I269" s="126"/>
      <c r="J269" s="3"/>
      <c r="K269" s="3"/>
      <c r="L269" s="3"/>
      <c r="M269" s="2"/>
      <c r="N269" s="140"/>
      <c r="O269" s="140"/>
      <c r="P269" s="140"/>
      <c r="Q269" s="140"/>
      <c r="R269" s="140"/>
      <c r="S269" s="140"/>
      <c r="T269" s="140"/>
      <c r="U269" s="140"/>
      <c r="V269" s="140"/>
      <c r="W269" s="140"/>
      <c r="X269" s="141"/>
      <c r="Y269" s="141"/>
      <c r="Z269" s="141"/>
      <c r="AA269" s="2"/>
    </row>
    <row r="270" spans="1:27" s="121" customFormat="1" ht="54.95" customHeight="1">
      <c r="A270" s="3"/>
      <c r="B270" s="3"/>
      <c r="C270" s="125"/>
      <c r="D270" s="126"/>
      <c r="E270" s="126"/>
      <c r="F270" s="126"/>
      <c r="G270" s="126"/>
      <c r="H270" s="126"/>
      <c r="I270" s="126"/>
      <c r="J270" s="3"/>
      <c r="K270" s="3"/>
      <c r="L270" s="3"/>
      <c r="M270" s="2"/>
      <c r="N270" s="140"/>
      <c r="O270" s="140"/>
      <c r="P270" s="140"/>
      <c r="Q270" s="140"/>
      <c r="R270" s="140"/>
      <c r="S270" s="140"/>
      <c r="T270" s="140"/>
      <c r="U270" s="140"/>
      <c r="V270" s="140"/>
      <c r="W270" s="140"/>
      <c r="X270" s="141"/>
      <c r="Y270" s="141"/>
      <c r="Z270" s="141"/>
      <c r="AA270" s="2"/>
    </row>
    <row r="271" spans="1:27" s="121" customFormat="1" ht="54.95" customHeight="1">
      <c r="A271" s="3"/>
      <c r="B271" s="3"/>
      <c r="C271" s="125"/>
      <c r="D271" s="126"/>
      <c r="E271" s="126"/>
      <c r="F271" s="126"/>
      <c r="G271" s="126"/>
      <c r="H271" s="126"/>
      <c r="I271" s="126"/>
      <c r="J271" s="3"/>
      <c r="K271" s="3"/>
      <c r="L271" s="3"/>
      <c r="M271" s="2"/>
      <c r="N271" s="140"/>
      <c r="O271" s="140"/>
      <c r="P271" s="140"/>
      <c r="Q271" s="140"/>
      <c r="R271" s="140"/>
      <c r="S271" s="140"/>
      <c r="T271" s="140"/>
      <c r="U271" s="140"/>
      <c r="V271" s="140"/>
      <c r="W271" s="140"/>
      <c r="X271" s="141"/>
      <c r="Y271" s="141"/>
      <c r="Z271" s="141"/>
      <c r="AA271" s="2"/>
    </row>
    <row r="272" spans="1:27" s="121" customFormat="1" ht="54.95" customHeight="1">
      <c r="A272" s="3"/>
      <c r="B272" s="3"/>
      <c r="C272" s="125"/>
      <c r="D272" s="126"/>
      <c r="E272" s="126"/>
      <c r="F272" s="126"/>
      <c r="G272" s="126"/>
      <c r="H272" s="126"/>
      <c r="I272" s="126"/>
      <c r="J272" s="3"/>
      <c r="K272" s="3"/>
      <c r="L272" s="3"/>
      <c r="M272" s="2"/>
      <c r="N272" s="140"/>
      <c r="O272" s="140"/>
      <c r="P272" s="140"/>
      <c r="Q272" s="140"/>
      <c r="R272" s="140"/>
      <c r="S272" s="140"/>
      <c r="T272" s="140"/>
      <c r="U272" s="140"/>
      <c r="V272" s="140"/>
      <c r="W272" s="140"/>
      <c r="X272" s="141"/>
      <c r="Y272" s="141"/>
      <c r="Z272" s="141"/>
      <c r="AA272" s="2"/>
    </row>
    <row r="273" spans="1:27" s="121" customFormat="1" ht="54.95" customHeight="1">
      <c r="A273" s="3"/>
      <c r="B273" s="3"/>
      <c r="C273" s="125"/>
      <c r="D273" s="126"/>
      <c r="E273" s="126"/>
      <c r="F273" s="126"/>
      <c r="G273" s="126"/>
      <c r="H273" s="126"/>
      <c r="I273" s="126"/>
      <c r="J273" s="3"/>
      <c r="K273" s="3"/>
      <c r="L273" s="3"/>
      <c r="M273" s="2"/>
      <c r="N273" s="140"/>
      <c r="O273" s="140"/>
      <c r="P273" s="140"/>
      <c r="Q273" s="140"/>
      <c r="R273" s="140"/>
      <c r="S273" s="140"/>
      <c r="T273" s="140"/>
      <c r="U273" s="140"/>
      <c r="V273" s="140"/>
      <c r="W273" s="140"/>
      <c r="X273" s="141"/>
      <c r="Y273" s="141"/>
      <c r="Z273" s="141"/>
      <c r="AA273" s="2"/>
    </row>
    <row r="274" spans="1:27" s="121" customFormat="1" ht="54.95" customHeight="1">
      <c r="A274" s="3"/>
      <c r="B274" s="3"/>
      <c r="C274" s="125"/>
      <c r="D274" s="126"/>
      <c r="E274" s="126"/>
      <c r="F274" s="126"/>
      <c r="G274" s="126"/>
      <c r="H274" s="126"/>
      <c r="I274" s="126"/>
      <c r="J274" s="3"/>
      <c r="K274" s="3"/>
      <c r="L274" s="3"/>
      <c r="M274" s="2"/>
      <c r="N274" s="140"/>
      <c r="O274" s="140"/>
      <c r="P274" s="140"/>
      <c r="Q274" s="140"/>
      <c r="R274" s="140"/>
      <c r="S274" s="140"/>
      <c r="T274" s="140"/>
      <c r="U274" s="140"/>
      <c r="V274" s="140"/>
      <c r="W274" s="140"/>
      <c r="X274" s="141"/>
      <c r="Y274" s="141"/>
      <c r="Z274" s="141"/>
      <c r="AA274" s="2"/>
    </row>
    <row r="275" spans="1:27" s="121" customFormat="1" ht="54.95" customHeight="1">
      <c r="A275" s="3"/>
      <c r="B275" s="3"/>
      <c r="C275" s="125"/>
      <c r="D275" s="126"/>
      <c r="E275" s="126"/>
      <c r="F275" s="126"/>
      <c r="G275" s="126"/>
      <c r="H275" s="126"/>
      <c r="I275" s="126"/>
      <c r="J275" s="3"/>
      <c r="K275" s="3"/>
      <c r="L275" s="3"/>
      <c r="M275" s="2"/>
      <c r="N275" s="140"/>
      <c r="O275" s="140"/>
      <c r="P275" s="140"/>
      <c r="Q275" s="140"/>
      <c r="R275" s="140"/>
      <c r="S275" s="140"/>
      <c r="T275" s="140"/>
      <c r="U275" s="140"/>
      <c r="V275" s="140"/>
      <c r="W275" s="140"/>
      <c r="X275" s="141"/>
      <c r="Y275" s="141"/>
      <c r="Z275" s="141"/>
      <c r="AA275" s="2"/>
    </row>
    <row r="276" spans="1:27" s="121" customFormat="1" ht="54.95" customHeight="1">
      <c r="A276" s="3"/>
      <c r="B276" s="3"/>
      <c r="C276" s="125"/>
      <c r="D276" s="126"/>
      <c r="E276" s="126"/>
      <c r="F276" s="126"/>
      <c r="G276" s="126"/>
      <c r="H276" s="126"/>
      <c r="I276" s="126"/>
      <c r="J276" s="3"/>
      <c r="K276" s="3"/>
      <c r="L276" s="3"/>
      <c r="M276" s="2"/>
      <c r="N276" s="140"/>
      <c r="O276" s="140"/>
      <c r="P276" s="140"/>
      <c r="Q276" s="140"/>
      <c r="R276" s="140"/>
      <c r="S276" s="140"/>
      <c r="T276" s="140"/>
      <c r="U276" s="140"/>
      <c r="V276" s="140"/>
      <c r="W276" s="140"/>
      <c r="X276" s="141"/>
      <c r="Y276" s="141"/>
      <c r="Z276" s="141"/>
      <c r="AA276" s="2"/>
    </row>
    <row r="277" spans="1:27" s="121" customFormat="1" ht="54.95" customHeight="1">
      <c r="A277" s="3"/>
      <c r="B277" s="3"/>
      <c r="C277" s="125"/>
      <c r="D277" s="126"/>
      <c r="E277" s="126"/>
      <c r="F277" s="126"/>
      <c r="G277" s="126"/>
      <c r="H277" s="126"/>
      <c r="I277" s="126"/>
      <c r="J277" s="3"/>
      <c r="K277" s="3"/>
      <c r="L277" s="3"/>
      <c r="M277" s="2"/>
      <c r="N277" s="140"/>
      <c r="O277" s="140"/>
      <c r="P277" s="140"/>
      <c r="Q277" s="140"/>
      <c r="R277" s="140"/>
      <c r="S277" s="140"/>
      <c r="T277" s="140"/>
      <c r="U277" s="140"/>
      <c r="V277" s="140"/>
      <c r="W277" s="140"/>
      <c r="X277" s="141"/>
      <c r="Y277" s="141"/>
      <c r="Z277" s="141"/>
      <c r="AA277" s="2"/>
    </row>
    <row r="278" spans="1:27" s="121" customFormat="1" ht="54.95" customHeight="1">
      <c r="A278" s="3"/>
      <c r="B278" s="3"/>
      <c r="C278" s="125"/>
      <c r="D278" s="126"/>
      <c r="E278" s="126"/>
      <c r="F278" s="126"/>
      <c r="G278" s="126"/>
      <c r="H278" s="126"/>
      <c r="I278" s="126"/>
      <c r="J278" s="3"/>
      <c r="K278" s="3"/>
      <c r="L278" s="3"/>
      <c r="M278" s="2"/>
      <c r="N278" s="140"/>
      <c r="O278" s="140"/>
      <c r="P278" s="140"/>
      <c r="Q278" s="140"/>
      <c r="R278" s="140"/>
      <c r="S278" s="140"/>
      <c r="T278" s="140"/>
      <c r="U278" s="140"/>
      <c r="V278" s="140"/>
      <c r="W278" s="140"/>
      <c r="X278" s="141"/>
      <c r="Y278" s="141"/>
      <c r="Z278" s="141"/>
      <c r="AA278" s="2"/>
    </row>
    <row r="279" spans="1:27" s="121" customFormat="1" ht="54.95" customHeight="1">
      <c r="A279" s="3"/>
      <c r="B279" s="3"/>
      <c r="C279" s="125"/>
      <c r="D279" s="126"/>
      <c r="E279" s="126"/>
      <c r="F279" s="126"/>
      <c r="G279" s="126"/>
      <c r="H279" s="126"/>
      <c r="I279" s="126"/>
      <c r="J279" s="3"/>
      <c r="K279" s="3"/>
      <c r="L279" s="3"/>
      <c r="M279" s="2"/>
      <c r="N279" s="140"/>
      <c r="O279" s="140"/>
      <c r="P279" s="140"/>
      <c r="Q279" s="140"/>
      <c r="R279" s="140"/>
      <c r="S279" s="140"/>
      <c r="T279" s="140"/>
      <c r="U279" s="140"/>
      <c r="V279" s="140"/>
      <c r="W279" s="140"/>
      <c r="X279" s="141"/>
      <c r="Y279" s="141"/>
      <c r="Z279" s="141"/>
      <c r="AA279" s="2"/>
    </row>
    <row r="280" spans="1:27" s="121" customFormat="1" ht="54.95" customHeight="1">
      <c r="A280" s="3"/>
      <c r="B280" s="3"/>
      <c r="C280" s="125"/>
      <c r="D280" s="126"/>
      <c r="E280" s="126"/>
      <c r="F280" s="126"/>
      <c r="G280" s="126"/>
      <c r="H280" s="126"/>
      <c r="I280" s="126"/>
      <c r="J280" s="3"/>
      <c r="K280" s="3"/>
      <c r="L280" s="3"/>
      <c r="M280" s="2"/>
      <c r="N280" s="140"/>
      <c r="O280" s="140"/>
      <c r="P280" s="140"/>
      <c r="Q280" s="140"/>
      <c r="R280" s="140"/>
      <c r="S280" s="140"/>
      <c r="T280" s="140"/>
      <c r="U280" s="140"/>
      <c r="V280" s="140"/>
      <c r="W280" s="140"/>
      <c r="X280" s="141"/>
      <c r="Y280" s="141"/>
      <c r="Z280" s="141"/>
      <c r="AA280" s="2"/>
    </row>
    <row r="281" spans="1:27" s="121" customFormat="1" ht="54.95" customHeight="1">
      <c r="A281" s="3"/>
      <c r="B281" s="3"/>
      <c r="C281" s="125"/>
      <c r="D281" s="126"/>
      <c r="E281" s="126"/>
      <c r="F281" s="126"/>
      <c r="G281" s="126"/>
      <c r="H281" s="126"/>
      <c r="I281" s="126"/>
      <c r="J281" s="3"/>
      <c r="K281" s="3"/>
      <c r="L281" s="3"/>
      <c r="M281" s="2"/>
      <c r="N281" s="140"/>
      <c r="O281" s="140"/>
      <c r="P281" s="140"/>
      <c r="Q281" s="140"/>
      <c r="R281" s="140"/>
      <c r="S281" s="140"/>
      <c r="T281" s="140"/>
      <c r="U281" s="140"/>
      <c r="V281" s="140"/>
      <c r="W281" s="140"/>
      <c r="X281" s="141"/>
      <c r="Y281" s="141"/>
      <c r="Z281" s="141"/>
      <c r="AA281" s="2"/>
    </row>
    <row r="282" spans="1:27" s="121" customFormat="1" ht="54.95" customHeight="1">
      <c r="A282" s="3"/>
      <c r="B282" s="3"/>
      <c r="C282" s="125"/>
      <c r="D282" s="126"/>
      <c r="E282" s="126"/>
      <c r="F282" s="126"/>
      <c r="G282" s="126"/>
      <c r="H282" s="126"/>
      <c r="I282" s="126"/>
      <c r="J282" s="3"/>
      <c r="K282" s="3"/>
      <c r="L282" s="3"/>
      <c r="M282" s="2"/>
      <c r="N282" s="140"/>
      <c r="O282" s="140"/>
      <c r="P282" s="140"/>
      <c r="Q282" s="140"/>
      <c r="R282" s="140"/>
      <c r="S282" s="140"/>
      <c r="T282" s="140"/>
      <c r="U282" s="140"/>
      <c r="V282" s="140"/>
      <c r="W282" s="140"/>
      <c r="X282" s="141"/>
      <c r="Y282" s="141"/>
      <c r="Z282" s="141"/>
      <c r="AA282" s="2"/>
    </row>
    <row r="283" spans="1:27" s="121" customFormat="1" ht="54.95" customHeight="1">
      <c r="A283" s="3"/>
      <c r="B283" s="3"/>
      <c r="C283" s="125"/>
      <c r="D283" s="126"/>
      <c r="E283" s="126"/>
      <c r="F283" s="126"/>
      <c r="G283" s="126"/>
      <c r="H283" s="126"/>
      <c r="I283" s="126"/>
      <c r="J283" s="3"/>
      <c r="K283" s="3"/>
      <c r="L283" s="3"/>
      <c r="M283" s="2"/>
      <c r="N283" s="140"/>
      <c r="O283" s="140"/>
      <c r="P283" s="140"/>
      <c r="Q283" s="140"/>
      <c r="R283" s="140"/>
      <c r="S283" s="140"/>
      <c r="T283" s="140"/>
      <c r="U283" s="140"/>
      <c r="V283" s="140"/>
      <c r="W283" s="140"/>
      <c r="X283" s="141"/>
      <c r="Y283" s="141"/>
      <c r="Z283" s="141"/>
      <c r="AA283" s="2"/>
    </row>
    <row r="284" spans="1:27" s="121" customFormat="1" ht="54.95" customHeight="1">
      <c r="A284" s="3"/>
      <c r="B284" s="3"/>
      <c r="C284" s="125"/>
      <c r="D284" s="126"/>
      <c r="E284" s="126"/>
      <c r="F284" s="126"/>
      <c r="G284" s="126"/>
      <c r="H284" s="126"/>
      <c r="I284" s="126"/>
      <c r="J284" s="3"/>
      <c r="K284" s="3"/>
      <c r="L284" s="3"/>
      <c r="M284" s="2"/>
      <c r="N284" s="140"/>
      <c r="O284" s="140"/>
      <c r="P284" s="140"/>
      <c r="Q284" s="140"/>
      <c r="R284" s="140"/>
      <c r="S284" s="140"/>
      <c r="T284" s="140"/>
      <c r="U284" s="140"/>
      <c r="V284" s="140"/>
      <c r="W284" s="140"/>
      <c r="X284" s="141"/>
      <c r="Y284" s="141"/>
      <c r="Z284" s="141"/>
      <c r="AA284" s="2"/>
    </row>
  </sheetData>
  <mergeCells count="13">
    <mergeCell ref="A22:B22"/>
    <mergeCell ref="C22:K22"/>
    <mergeCell ref="A23:L23"/>
    <mergeCell ref="A1:M1"/>
    <mergeCell ref="B2:B3"/>
    <mergeCell ref="C2:C3"/>
    <mergeCell ref="D2:G2"/>
    <mergeCell ref="H2:H3"/>
    <mergeCell ref="I2:I3"/>
    <mergeCell ref="J2:J3"/>
    <mergeCell ref="K2:K3"/>
    <mergeCell ref="L2:L3"/>
    <mergeCell ref="M2:M3"/>
  </mergeCells>
  <pageMargins left="0.7" right="0.7" top="0.75" bottom="0.75" header="0.3" footer="0.3"/>
  <pageSetup paperSize="9" scale="71" orientation="portrait" r:id="rId1"/>
  <drawing r:id="rId2"/>
  <legacyDrawing r:id="rId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rightToLeft="1" workbookViewId="0">
      <selection sqref="A1:C1"/>
    </sheetView>
  </sheetViews>
  <sheetFormatPr defaultRowHeight="27"/>
  <cols>
    <col min="1" max="1" width="18.33203125" style="60" customWidth="1"/>
    <col min="2" max="2" width="126.6640625" style="60" customWidth="1"/>
    <col min="3" max="3" width="18.33203125" style="60" customWidth="1"/>
    <col min="4" max="16384" width="9.33203125" style="60"/>
  </cols>
  <sheetData>
    <row r="1" spans="1:3" ht="59.25" customHeight="1">
      <c r="A1" s="387" t="s">
        <v>618</v>
      </c>
      <c r="B1" s="387"/>
      <c r="C1" s="387"/>
    </row>
    <row r="2" spans="1:3" s="62" customFormat="1" ht="42" customHeight="1">
      <c r="A2" s="388"/>
      <c r="B2" s="61" t="str">
        <f>'[40]سیاست ها و برنامه ها '!A1</f>
        <v xml:space="preserve"> اهداف کلی 4: دسترسی كمي و كيفي  به بسته خدمات دامپزشکی</v>
      </c>
      <c r="C2" s="389"/>
    </row>
    <row r="3" spans="1:3" s="62" customFormat="1" ht="42" customHeight="1">
      <c r="A3" s="388"/>
      <c r="B3" s="63" t="str">
        <f>'[40]سیاست ها و برنامه ها '!A2</f>
        <v>راهبرد 21-4:  توسعه ارتباطات و ارائه خدمات به ذینفعان با استفاده از فناوری های نوین هوشمند و مدیریت دانش اطلاعات</v>
      </c>
      <c r="C3" s="389"/>
    </row>
    <row r="4" spans="1:3" s="62" customFormat="1" ht="42" customHeight="1">
      <c r="A4" s="388"/>
      <c r="B4" s="64" t="str">
        <f>CONCATENATE([40]روکش!A1," ",[40]روکش!B1)</f>
        <v xml:space="preserve"> عنوان هدف کمی:  استفاده از فناوری های نوین هوشمند و افزایش تعداد کاربران سامانه های الکترونیکی سازمان </v>
      </c>
      <c r="C4" s="389"/>
    </row>
    <row r="5" spans="1:3" s="62" customFormat="1" ht="42" customHeight="1">
      <c r="A5" s="388"/>
      <c r="B5" s="64" t="str">
        <f>CONCATENATE([40]روکش!A2,"  ",[40]روکش!B2,"     ",[40]روکش!C2,"  ",[40]روکش!D2)</f>
        <v>عنوان سنجه عملکرد:  هزار مورد کاربری سامانه     شاخص سنجه:  83</v>
      </c>
      <c r="C5" s="389"/>
    </row>
    <row r="6" spans="1:3" s="62" customFormat="1" ht="42" customHeight="1">
      <c r="A6" s="388"/>
      <c r="B6" s="64" t="s">
        <v>559</v>
      </c>
      <c r="C6" s="389"/>
    </row>
    <row r="7" spans="1:3" s="62" customFormat="1" ht="42" customHeight="1">
      <c r="A7" s="388"/>
      <c r="B7" s="64" t="s">
        <v>606</v>
      </c>
      <c r="C7" s="389"/>
    </row>
    <row r="8" spans="1:3" ht="42" customHeight="1">
      <c r="A8" s="388"/>
      <c r="B8" s="65" t="s">
        <v>458</v>
      </c>
      <c r="C8" s="389"/>
    </row>
    <row r="9" spans="1:3" s="66" customFormat="1" ht="42" customHeight="1">
      <c r="A9" s="388"/>
      <c r="B9" s="63" t="s">
        <v>461</v>
      </c>
      <c r="C9" s="389"/>
    </row>
    <row r="10" spans="1:3" s="68" customFormat="1" ht="42" customHeight="1">
      <c r="A10" s="388"/>
      <c r="B10" s="144" t="s">
        <v>607</v>
      </c>
      <c r="C10" s="389"/>
    </row>
    <row r="11" spans="1:3" ht="60.75" customHeight="1">
      <c r="A11" s="390"/>
      <c r="B11" s="390"/>
      <c r="C11" s="390"/>
    </row>
    <row r="12" spans="1:3" ht="22.5" customHeight="1"/>
    <row r="13" spans="1:3" ht="22.5" customHeight="1"/>
  </sheetData>
  <dataConsolidate/>
  <mergeCells count="4">
    <mergeCell ref="A1:C1"/>
    <mergeCell ref="A2:A10"/>
    <mergeCell ref="C2:C10"/>
    <mergeCell ref="A11:C11"/>
  </mergeCells>
  <pageMargins left="0.7" right="0.7" top="0.75" bottom="0.75" header="0.3" footer="0.3"/>
  <pageSetup paperSize="9" orientation="portrait" r:id="rId1"/>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rightToLeft="1" workbookViewId="0">
      <pane xSplit="7" topLeftCell="H1" activePane="topRight" state="frozen"/>
      <selection pane="topRight" sqref="A1:G1"/>
    </sheetView>
  </sheetViews>
  <sheetFormatPr defaultColWidth="25" defaultRowHeight="54.95" customHeight="1"/>
  <cols>
    <col min="1" max="1" width="13.6640625" style="147" customWidth="1"/>
    <col min="2" max="2" width="12.5" style="147" customWidth="1"/>
    <col min="3" max="3" width="49.83203125" style="147" customWidth="1"/>
    <col min="4" max="6" width="26.5" style="147" customWidth="1"/>
    <col min="7" max="7" width="9.5" style="147" customWidth="1"/>
    <col min="8" max="16384" width="25" style="147"/>
  </cols>
  <sheetData>
    <row r="1" spans="1:7" s="163" customFormat="1" ht="33" customHeight="1">
      <c r="A1" s="405" t="s">
        <v>1206</v>
      </c>
      <c r="B1" s="405"/>
      <c r="C1" s="405"/>
      <c r="D1" s="405"/>
      <c r="E1" s="405"/>
      <c r="F1" s="405"/>
      <c r="G1" s="405"/>
    </row>
    <row r="2" spans="1:7" s="163" customFormat="1" ht="33" customHeight="1">
      <c r="A2" s="405" t="s">
        <v>1259</v>
      </c>
      <c r="B2" s="405"/>
      <c r="C2" s="405"/>
      <c r="D2" s="405"/>
      <c r="E2" s="405"/>
      <c r="F2" s="405"/>
      <c r="G2" s="405"/>
    </row>
    <row r="3" spans="1:7" ht="48" customHeight="1">
      <c r="A3" s="405" t="s">
        <v>1260</v>
      </c>
      <c r="B3" s="405"/>
      <c r="C3" s="405"/>
      <c r="D3" s="405"/>
      <c r="E3" s="405"/>
      <c r="F3" s="405"/>
      <c r="G3" s="405"/>
    </row>
    <row r="4" spans="1:7" ht="24.95" customHeight="1">
      <c r="A4" s="405" t="s">
        <v>737</v>
      </c>
      <c r="B4" s="405"/>
      <c r="C4" s="405"/>
      <c r="D4" s="405"/>
      <c r="E4" s="405"/>
      <c r="F4" s="405"/>
      <c r="G4" s="405"/>
    </row>
    <row r="5" spans="1:7" ht="24.95" customHeight="1">
      <c r="A5" s="404" t="s">
        <v>1261</v>
      </c>
      <c r="B5" s="404"/>
      <c r="C5" s="404"/>
      <c r="D5" s="404"/>
      <c r="E5" s="404"/>
      <c r="F5" s="404"/>
      <c r="G5" s="404"/>
    </row>
    <row r="6" spans="1:7" ht="38.1" customHeight="1">
      <c r="A6" s="404" t="s">
        <v>1262</v>
      </c>
      <c r="B6" s="404"/>
      <c r="C6" s="404"/>
      <c r="D6" s="404"/>
      <c r="E6" s="404"/>
      <c r="F6" s="404"/>
      <c r="G6" s="404"/>
    </row>
    <row r="7" spans="1:7" ht="38.1" customHeight="1">
      <c r="A7" s="404" t="s">
        <v>1263</v>
      </c>
      <c r="B7" s="404"/>
      <c r="C7" s="404"/>
      <c r="D7" s="404"/>
      <c r="E7" s="404"/>
      <c r="F7" s="404"/>
      <c r="G7" s="404"/>
    </row>
    <row r="8" spans="1:7" ht="24.95" customHeight="1">
      <c r="A8" s="404" t="s">
        <v>1264</v>
      </c>
      <c r="B8" s="404"/>
      <c r="C8" s="404"/>
      <c r="D8" s="404"/>
      <c r="E8" s="404"/>
      <c r="F8" s="404"/>
      <c r="G8" s="404"/>
    </row>
    <row r="9" spans="1:7" ht="38.1" customHeight="1">
      <c r="A9" s="404" t="s">
        <v>1265</v>
      </c>
      <c r="B9" s="404"/>
      <c r="C9" s="404"/>
      <c r="D9" s="404"/>
      <c r="E9" s="404"/>
      <c r="F9" s="404"/>
      <c r="G9" s="404"/>
    </row>
    <row r="10" spans="1:7" ht="24.95" customHeight="1">
      <c r="A10" s="404" t="s">
        <v>1266</v>
      </c>
      <c r="B10" s="404"/>
      <c r="C10" s="404"/>
      <c r="D10" s="404"/>
      <c r="E10" s="404"/>
      <c r="F10" s="404"/>
      <c r="G10" s="404"/>
    </row>
    <row r="11" spans="1:7" ht="24.95" customHeight="1">
      <c r="A11" s="404" t="s">
        <v>1267</v>
      </c>
      <c r="B11" s="404"/>
      <c r="C11" s="404"/>
      <c r="D11" s="404"/>
      <c r="E11" s="404"/>
      <c r="F11" s="404"/>
      <c r="G11" s="404"/>
    </row>
    <row r="12" spans="1:7" s="146" customFormat="1" ht="47.25" customHeight="1">
      <c r="A12" s="408"/>
      <c r="B12" s="287" t="s">
        <v>0</v>
      </c>
      <c r="C12" s="223" t="s">
        <v>626</v>
      </c>
      <c r="D12" s="224" t="s">
        <v>758</v>
      </c>
      <c r="E12" s="224" t="s">
        <v>759</v>
      </c>
      <c r="F12" s="224" t="s">
        <v>760</v>
      </c>
      <c r="G12" s="409"/>
    </row>
    <row r="13" spans="1:7" s="146" customFormat="1" ht="50.1" customHeight="1">
      <c r="A13" s="408"/>
      <c r="B13" s="283" t="s">
        <v>1268</v>
      </c>
      <c r="C13" s="288" t="s">
        <v>1269</v>
      </c>
      <c r="D13" s="227" t="s">
        <v>1270</v>
      </c>
      <c r="E13" s="227">
        <v>0</v>
      </c>
      <c r="F13" s="227" t="s">
        <v>1271</v>
      </c>
      <c r="G13" s="409"/>
    </row>
    <row r="14" spans="1:7" s="146" customFormat="1" ht="50.1" customHeight="1">
      <c r="A14" s="408"/>
      <c r="B14" s="283" t="s">
        <v>1272</v>
      </c>
      <c r="C14" s="288" t="s">
        <v>1273</v>
      </c>
      <c r="D14" s="227" t="s">
        <v>1270</v>
      </c>
      <c r="E14" s="227">
        <v>50</v>
      </c>
      <c r="F14" s="227" t="s">
        <v>1271</v>
      </c>
      <c r="G14" s="409"/>
    </row>
    <row r="15" spans="1:7" s="146" customFormat="1" ht="50.1" customHeight="1">
      <c r="A15" s="408"/>
      <c r="B15" s="283" t="s">
        <v>1274</v>
      </c>
      <c r="C15" s="288" t="s">
        <v>1275</v>
      </c>
      <c r="D15" s="227" t="s">
        <v>1270</v>
      </c>
      <c r="E15" s="227">
        <v>50</v>
      </c>
      <c r="F15" s="227" t="s">
        <v>1271</v>
      </c>
      <c r="G15" s="409"/>
    </row>
    <row r="16" spans="1:7" s="146" customFormat="1" ht="50.1" customHeight="1">
      <c r="A16" s="408"/>
      <c r="B16" s="283" t="s">
        <v>1276</v>
      </c>
      <c r="C16" s="288" t="s">
        <v>1277</v>
      </c>
      <c r="D16" s="227" t="s">
        <v>1270</v>
      </c>
      <c r="E16" s="227">
        <v>0</v>
      </c>
      <c r="F16" s="227" t="s">
        <v>1271</v>
      </c>
      <c r="G16" s="409"/>
    </row>
    <row r="17" spans="1:7" s="146" customFormat="1" ht="50.1" customHeight="1">
      <c r="A17" s="408"/>
      <c r="B17" s="283" t="s">
        <v>1278</v>
      </c>
      <c r="C17" s="288" t="s">
        <v>1279</v>
      </c>
      <c r="D17" s="227" t="s">
        <v>1270</v>
      </c>
      <c r="E17" s="227">
        <v>0</v>
      </c>
      <c r="F17" s="227" t="s">
        <v>1271</v>
      </c>
      <c r="G17" s="409"/>
    </row>
    <row r="18" spans="1:7" s="146" customFormat="1" ht="50.1" customHeight="1">
      <c r="A18" s="408"/>
      <c r="B18" s="283" t="s">
        <v>1280</v>
      </c>
      <c r="C18" s="288" t="s">
        <v>1281</v>
      </c>
      <c r="D18" s="227" t="s">
        <v>1270</v>
      </c>
      <c r="E18" s="227">
        <v>0</v>
      </c>
      <c r="F18" s="227" t="s">
        <v>1271</v>
      </c>
      <c r="G18" s="409"/>
    </row>
    <row r="19" spans="1:7" s="146" customFormat="1" ht="50.1" customHeight="1">
      <c r="A19" s="408"/>
      <c r="B19" s="283" t="s">
        <v>1282</v>
      </c>
      <c r="C19" s="288" t="s">
        <v>1283</v>
      </c>
      <c r="D19" s="227" t="s">
        <v>1270</v>
      </c>
      <c r="E19" s="227">
        <v>0</v>
      </c>
      <c r="F19" s="227" t="s">
        <v>1271</v>
      </c>
      <c r="G19" s="409"/>
    </row>
    <row r="20" spans="1:7" s="146" customFormat="1" ht="50.1" customHeight="1">
      <c r="A20" s="408"/>
      <c r="B20" s="283" t="s">
        <v>1284</v>
      </c>
      <c r="C20" s="288" t="s">
        <v>1285</v>
      </c>
      <c r="D20" s="227" t="s">
        <v>1270</v>
      </c>
      <c r="E20" s="227">
        <v>70</v>
      </c>
      <c r="F20" s="227" t="s">
        <v>1271</v>
      </c>
      <c r="G20" s="409"/>
    </row>
    <row r="21" spans="1:7" s="146" customFormat="1" ht="50.1" customHeight="1">
      <c r="A21" s="408"/>
      <c r="B21" s="283" t="s">
        <v>1286</v>
      </c>
      <c r="C21" s="288" t="s">
        <v>1287</v>
      </c>
      <c r="D21" s="227" t="s">
        <v>1270</v>
      </c>
      <c r="E21" s="227">
        <v>70</v>
      </c>
      <c r="F21" s="227" t="s">
        <v>1271</v>
      </c>
      <c r="G21" s="409"/>
    </row>
    <row r="22" spans="1:7" s="146" customFormat="1" ht="50.1" customHeight="1">
      <c r="A22" s="408"/>
      <c r="B22" s="283" t="s">
        <v>1288</v>
      </c>
      <c r="C22" s="288" t="s">
        <v>1289</v>
      </c>
      <c r="D22" s="227" t="s">
        <v>1270</v>
      </c>
      <c r="E22" s="227">
        <v>50</v>
      </c>
      <c r="F22" s="227" t="s">
        <v>1271</v>
      </c>
      <c r="G22" s="409"/>
    </row>
    <row r="23" spans="1:7" s="146" customFormat="1" ht="50.1" customHeight="1">
      <c r="A23" s="408"/>
      <c r="B23" s="283" t="s">
        <v>1290</v>
      </c>
      <c r="C23" s="288" t="s">
        <v>1291</v>
      </c>
      <c r="D23" s="227" t="s">
        <v>1270</v>
      </c>
      <c r="E23" s="227">
        <v>40</v>
      </c>
      <c r="F23" s="227" t="s">
        <v>1271</v>
      </c>
      <c r="G23" s="409"/>
    </row>
    <row r="24" spans="1:7" s="146" customFormat="1" ht="50.1" customHeight="1">
      <c r="A24" s="408"/>
      <c r="B24" s="283" t="s">
        <v>1292</v>
      </c>
      <c r="C24" s="288" t="s">
        <v>1293</v>
      </c>
      <c r="D24" s="227" t="s">
        <v>1270</v>
      </c>
      <c r="E24" s="227">
        <v>20</v>
      </c>
      <c r="F24" s="227" t="s">
        <v>1271</v>
      </c>
      <c r="G24" s="409"/>
    </row>
    <row r="25" spans="1:7" s="146" customFormat="1" ht="50.1" customHeight="1">
      <c r="A25" s="408"/>
      <c r="B25" s="283" t="s">
        <v>1294</v>
      </c>
      <c r="C25" s="288" t="s">
        <v>1295</v>
      </c>
      <c r="D25" s="227" t="s">
        <v>1270</v>
      </c>
      <c r="E25" s="227">
        <v>10</v>
      </c>
      <c r="F25" s="227" t="s">
        <v>1271</v>
      </c>
      <c r="G25" s="409"/>
    </row>
    <row r="26" spans="1:7" s="146" customFormat="1" ht="50.1" customHeight="1">
      <c r="A26" s="408"/>
      <c r="B26" s="283" t="s">
        <v>1296</v>
      </c>
      <c r="C26" s="288" t="s">
        <v>1297</v>
      </c>
      <c r="D26" s="227" t="s">
        <v>1270</v>
      </c>
      <c r="E26" s="227">
        <v>20</v>
      </c>
      <c r="F26" s="227" t="s">
        <v>1271</v>
      </c>
      <c r="G26" s="409"/>
    </row>
    <row r="27" spans="1:7" s="146" customFormat="1" ht="50.1" customHeight="1">
      <c r="A27" s="408"/>
      <c r="B27" s="283" t="s">
        <v>1298</v>
      </c>
      <c r="C27" s="288" t="s">
        <v>1299</v>
      </c>
      <c r="D27" s="227" t="s">
        <v>1270</v>
      </c>
      <c r="E27" s="227">
        <v>50</v>
      </c>
      <c r="F27" s="227" t="s">
        <v>1271</v>
      </c>
      <c r="G27" s="409"/>
    </row>
    <row r="28" spans="1:7" s="146" customFormat="1" ht="50.1" customHeight="1">
      <c r="A28" s="408"/>
      <c r="B28" s="283" t="s">
        <v>1300</v>
      </c>
      <c r="C28" s="288" t="s">
        <v>1301</v>
      </c>
      <c r="D28" s="227" t="s">
        <v>1270</v>
      </c>
      <c r="E28" s="227">
        <v>30</v>
      </c>
      <c r="F28" s="227" t="s">
        <v>1271</v>
      </c>
      <c r="G28" s="409"/>
    </row>
    <row r="29" spans="1:7" s="146" customFormat="1" ht="50.1" customHeight="1">
      <c r="A29" s="408"/>
      <c r="B29" s="283" t="s">
        <v>1302</v>
      </c>
      <c r="C29" s="288" t="s">
        <v>1303</v>
      </c>
      <c r="D29" s="227" t="s">
        <v>1270</v>
      </c>
      <c r="E29" s="227">
        <v>30</v>
      </c>
      <c r="F29" s="227" t="s">
        <v>1271</v>
      </c>
      <c r="G29" s="409"/>
    </row>
    <row r="30" spans="1:7" s="146" customFormat="1" ht="50.1" customHeight="1">
      <c r="A30" s="408"/>
      <c r="B30" s="283" t="s">
        <v>1304</v>
      </c>
      <c r="C30" s="288" t="s">
        <v>1305</v>
      </c>
      <c r="D30" s="227" t="s">
        <v>1270</v>
      </c>
      <c r="E30" s="227">
        <v>30</v>
      </c>
      <c r="F30" s="227" t="s">
        <v>1271</v>
      </c>
      <c r="G30" s="409"/>
    </row>
    <row r="31" spans="1:7" s="146" customFormat="1" ht="50.1" customHeight="1">
      <c r="A31" s="408"/>
      <c r="B31" s="283" t="s">
        <v>1306</v>
      </c>
      <c r="C31" s="288" t="s">
        <v>1307</v>
      </c>
      <c r="D31" s="227" t="s">
        <v>1270</v>
      </c>
      <c r="E31" s="227">
        <v>60</v>
      </c>
      <c r="F31" s="227" t="s">
        <v>1271</v>
      </c>
      <c r="G31" s="409"/>
    </row>
    <row r="32" spans="1:7" s="146" customFormat="1" ht="50.1" customHeight="1">
      <c r="A32" s="408"/>
      <c r="B32" s="283" t="s">
        <v>1308</v>
      </c>
      <c r="C32" s="288" t="s">
        <v>1309</v>
      </c>
      <c r="D32" s="227" t="s">
        <v>1270</v>
      </c>
      <c r="E32" s="227">
        <v>80</v>
      </c>
      <c r="F32" s="227" t="s">
        <v>1271</v>
      </c>
      <c r="G32" s="409"/>
    </row>
    <row r="33" spans="1:7" s="146" customFormat="1" ht="50.1" customHeight="1">
      <c r="A33" s="408"/>
      <c r="B33" s="283" t="s">
        <v>1310</v>
      </c>
      <c r="C33" s="288" t="s">
        <v>1311</v>
      </c>
      <c r="D33" s="227" t="s">
        <v>1270</v>
      </c>
      <c r="E33" s="227">
        <v>0</v>
      </c>
      <c r="F33" s="227" t="s">
        <v>1271</v>
      </c>
      <c r="G33" s="409"/>
    </row>
    <row r="34" spans="1:7" s="146" customFormat="1" ht="50.1" customHeight="1">
      <c r="A34" s="408"/>
      <c r="B34" s="283" t="s">
        <v>1312</v>
      </c>
      <c r="C34" s="288" t="s">
        <v>1313</v>
      </c>
      <c r="D34" s="227" t="s">
        <v>1270</v>
      </c>
      <c r="E34" s="227">
        <v>0</v>
      </c>
      <c r="F34" s="227" t="s">
        <v>1271</v>
      </c>
      <c r="G34" s="409"/>
    </row>
    <row r="35" spans="1:7" s="146" customFormat="1" ht="50.1" customHeight="1">
      <c r="A35" s="408"/>
      <c r="B35" s="283" t="s">
        <v>1314</v>
      </c>
      <c r="C35" s="288" t="s">
        <v>1315</v>
      </c>
      <c r="D35" s="227" t="s">
        <v>1270</v>
      </c>
      <c r="E35" s="227">
        <v>40</v>
      </c>
      <c r="F35" s="227" t="s">
        <v>1271</v>
      </c>
      <c r="G35" s="409"/>
    </row>
    <row r="36" spans="1:7" s="146" customFormat="1" ht="50.1" customHeight="1">
      <c r="A36" s="408"/>
      <c r="B36" s="283" t="s">
        <v>1316</v>
      </c>
      <c r="C36" s="288" t="s">
        <v>1317</v>
      </c>
      <c r="D36" s="227" t="s">
        <v>1270</v>
      </c>
      <c r="E36" s="227">
        <v>20</v>
      </c>
      <c r="F36" s="227" t="s">
        <v>1271</v>
      </c>
      <c r="G36" s="409"/>
    </row>
    <row r="37" spans="1:7" s="146" customFormat="1" ht="50.1" customHeight="1">
      <c r="A37" s="408"/>
      <c r="B37" s="283" t="s">
        <v>1318</v>
      </c>
      <c r="C37" s="288" t="s">
        <v>1319</v>
      </c>
      <c r="D37" s="227" t="s">
        <v>88</v>
      </c>
      <c r="E37" s="227">
        <v>10</v>
      </c>
      <c r="F37" s="294">
        <f>E37+E37*60%</f>
        <v>16</v>
      </c>
      <c r="G37" s="409"/>
    </row>
    <row r="38" spans="1:7" ht="65.099999999999994" customHeight="1">
      <c r="A38" s="406"/>
      <c r="B38" s="406"/>
      <c r="C38" s="406"/>
      <c r="D38" s="406"/>
      <c r="E38" s="406"/>
      <c r="F38" s="406"/>
      <c r="G38" s="407"/>
    </row>
  </sheetData>
  <mergeCells count="14">
    <mergeCell ref="A38:G38"/>
    <mergeCell ref="A7:G7"/>
    <mergeCell ref="A8:G8"/>
    <mergeCell ref="A9:G9"/>
    <mergeCell ref="A10:G10"/>
    <mergeCell ref="A11:G11"/>
    <mergeCell ref="A12:A37"/>
    <mergeCell ref="G12:G37"/>
    <mergeCell ref="A6:G6"/>
    <mergeCell ref="A1:G1"/>
    <mergeCell ref="A2:G2"/>
    <mergeCell ref="A3:G3"/>
    <mergeCell ref="A4:G4"/>
    <mergeCell ref="A5:G5"/>
  </mergeCells>
  <printOptions headings="1"/>
  <pageMargins left="0.7" right="0.7" top="0.75" bottom="0.75" header="0.3" footer="0.3"/>
  <pageSetup paperSize="9" scale="94" orientation="landscape" r:id="rId1"/>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1"/>
  <sheetViews>
    <sheetView showGridLines="0" rightToLeft="1" workbookViewId="0">
      <pane xSplit="9" topLeftCell="J1" activePane="topRight" state="frozen"/>
      <selection pane="topRight" sqref="A1:I72"/>
    </sheetView>
  </sheetViews>
  <sheetFormatPr defaultColWidth="10.6640625" defaultRowHeight="18"/>
  <cols>
    <col min="1" max="1" width="8.6640625" style="4" customWidth="1"/>
    <col min="2" max="2" width="33.33203125" style="4" customWidth="1"/>
    <col min="3" max="8" width="17.1640625" style="4" customWidth="1"/>
    <col min="9" max="9" width="18.6640625" style="4" customWidth="1"/>
    <col min="10" max="10" width="9.5" style="58" customWidth="1"/>
    <col min="11" max="11" width="11.6640625" style="59" customWidth="1"/>
    <col min="12" max="16384" width="10.6640625" style="4"/>
  </cols>
  <sheetData>
    <row r="1" spans="1:22" s="3" customFormat="1" ht="43.5" customHeight="1">
      <c r="A1" s="542" t="s">
        <v>129</v>
      </c>
      <c r="B1" s="542"/>
      <c r="C1" s="542"/>
      <c r="D1" s="542"/>
      <c r="E1" s="542"/>
      <c r="F1" s="542"/>
      <c r="G1" s="542"/>
      <c r="H1" s="542"/>
      <c r="I1" s="542"/>
      <c r="J1" s="54"/>
      <c r="K1" s="28"/>
      <c r="L1" s="29"/>
      <c r="M1" s="29"/>
      <c r="N1" s="29"/>
      <c r="O1" s="29"/>
      <c r="P1" s="29"/>
      <c r="Q1" s="29"/>
      <c r="R1" s="29"/>
      <c r="S1" s="30"/>
      <c r="T1" s="30"/>
      <c r="U1" s="31"/>
      <c r="V1" s="2"/>
    </row>
    <row r="2" spans="1:22" s="3" customFormat="1" ht="59.25" customHeight="1">
      <c r="A2" s="110" t="s">
        <v>0</v>
      </c>
      <c r="B2" s="111" t="s">
        <v>11</v>
      </c>
      <c r="C2" s="112" t="s">
        <v>125</v>
      </c>
      <c r="D2" s="112" t="s">
        <v>127</v>
      </c>
      <c r="E2" s="112" t="s">
        <v>126</v>
      </c>
      <c r="F2" s="112" t="s">
        <v>128</v>
      </c>
      <c r="G2" s="112" t="s">
        <v>124</v>
      </c>
      <c r="H2" s="112" t="s">
        <v>123</v>
      </c>
      <c r="I2" s="112" t="s">
        <v>121</v>
      </c>
      <c r="J2" s="54"/>
      <c r="K2" s="28"/>
      <c r="L2" s="29"/>
      <c r="M2" s="29"/>
      <c r="N2" s="29"/>
      <c r="O2" s="29"/>
      <c r="P2" s="29"/>
      <c r="Q2" s="29"/>
      <c r="R2" s="29"/>
      <c r="S2" s="30"/>
      <c r="T2" s="30"/>
      <c r="U2" s="31"/>
      <c r="V2" s="2"/>
    </row>
    <row r="3" spans="1:22" s="3" customFormat="1" ht="35.1" customHeight="1">
      <c r="A3" s="113">
        <v>1</v>
      </c>
      <c r="B3" s="114" t="s">
        <v>14</v>
      </c>
      <c r="C3" s="115">
        <v>4.2179079876832386E-2</v>
      </c>
      <c r="D3" s="115">
        <v>3.5207238316774574E-2</v>
      </c>
      <c r="E3" s="115">
        <v>3.8015600673710286E-2</v>
      </c>
      <c r="F3" s="115">
        <v>3.6351736520997754E-2</v>
      </c>
      <c r="G3" s="115">
        <v>4.9164195974075092E-2</v>
      </c>
      <c r="H3" s="115">
        <v>3.2925691850932706E-2</v>
      </c>
      <c r="I3" s="115">
        <v>3.4880252027092218E-2</v>
      </c>
      <c r="J3" s="55">
        <v>126418.79</v>
      </c>
      <c r="K3" s="28"/>
      <c r="L3" s="29"/>
      <c r="M3" s="29"/>
      <c r="N3" s="29"/>
      <c r="O3" s="29"/>
      <c r="P3" s="29"/>
      <c r="Q3" s="29"/>
      <c r="R3" s="29"/>
      <c r="S3" s="30"/>
      <c r="T3" s="30"/>
      <c r="U3" s="31"/>
      <c r="V3" s="2"/>
    </row>
    <row r="4" spans="1:22" s="3" customFormat="1" ht="35.1" customHeight="1">
      <c r="A4" s="113">
        <v>2</v>
      </c>
      <c r="B4" s="114" t="s">
        <v>15</v>
      </c>
      <c r="C4" s="115">
        <v>3.5814274658283532E-2</v>
      </c>
      <c r="D4" s="115">
        <v>4.103617987262171E-2</v>
      </c>
      <c r="E4" s="115">
        <v>4.5379526105246065E-2</v>
      </c>
      <c r="F4" s="115">
        <v>3.2231499640093614E-2</v>
      </c>
      <c r="G4" s="115">
        <v>5.7629294807432854E-2</v>
      </c>
      <c r="H4" s="115">
        <v>4.2570619325840768E-2</v>
      </c>
      <c r="I4" s="115">
        <v>4.258775967203221E-2</v>
      </c>
      <c r="J4" s="55">
        <v>115773.4</v>
      </c>
      <c r="K4" s="28"/>
      <c r="L4" s="29"/>
      <c r="M4" s="29"/>
      <c r="N4" s="29"/>
      <c r="O4" s="29"/>
      <c r="P4" s="29"/>
      <c r="Q4" s="29"/>
      <c r="R4" s="29"/>
      <c r="S4" s="30"/>
      <c r="T4" s="30"/>
      <c r="U4" s="31"/>
      <c r="V4" s="2"/>
    </row>
    <row r="5" spans="1:22" s="3" customFormat="1" ht="35.1" customHeight="1">
      <c r="A5" s="113">
        <v>3</v>
      </c>
      <c r="B5" s="114" t="s">
        <v>16</v>
      </c>
      <c r="C5" s="115">
        <v>2.6910391359167164E-2</v>
      </c>
      <c r="D5" s="115">
        <v>2.7797255309335592E-2</v>
      </c>
      <c r="E5" s="115">
        <v>1.6618517939426997E-2</v>
      </c>
      <c r="F5" s="115">
        <v>3.2077926685284364E-2</v>
      </c>
      <c r="G5" s="115">
        <v>1.6611633304710396E-2</v>
      </c>
      <c r="H5" s="115">
        <v>2.3976466825935794E-2</v>
      </c>
      <c r="I5" s="115">
        <v>1.1097785875442743E-2</v>
      </c>
      <c r="J5" s="55">
        <v>64130</v>
      </c>
      <c r="K5" s="28"/>
      <c r="L5" s="29"/>
      <c r="M5" s="29"/>
      <c r="N5" s="29"/>
      <c r="O5" s="29"/>
      <c r="P5" s="29"/>
      <c r="Q5" s="29"/>
      <c r="R5" s="29"/>
      <c r="S5" s="30"/>
      <c r="T5" s="30"/>
      <c r="U5" s="31"/>
      <c r="V5" s="2"/>
    </row>
    <row r="6" spans="1:22" s="3" customFormat="1" ht="35.1" customHeight="1">
      <c r="A6" s="113">
        <v>4</v>
      </c>
      <c r="B6" s="114" t="s">
        <v>17</v>
      </c>
      <c r="C6" s="115">
        <v>4.4433658717661785E-2</v>
      </c>
      <c r="D6" s="115">
        <v>4.3168987976981932E-2</v>
      </c>
      <c r="E6" s="115">
        <v>4.3890208358967467E-2</v>
      </c>
      <c r="F6" s="115">
        <v>7.3403563100091482E-2</v>
      </c>
      <c r="G6" s="115">
        <v>4.9608590903098403E-2</v>
      </c>
      <c r="H6" s="115">
        <v>4.6942032732852031E-2</v>
      </c>
      <c r="I6" s="115">
        <v>5.164831624407773E-2</v>
      </c>
      <c r="J6" s="55">
        <v>115865</v>
      </c>
      <c r="K6" s="28"/>
      <c r="L6" s="29"/>
      <c r="M6" s="29"/>
      <c r="N6" s="29"/>
      <c r="O6" s="29"/>
      <c r="P6" s="29"/>
      <c r="Q6" s="29"/>
      <c r="R6" s="29"/>
      <c r="S6" s="30"/>
      <c r="T6" s="30"/>
      <c r="U6" s="31"/>
      <c r="V6" s="2"/>
    </row>
    <row r="7" spans="1:22" s="3" customFormat="1" ht="35.1" customHeight="1">
      <c r="A7" s="113">
        <v>5</v>
      </c>
      <c r="B7" s="114" t="s">
        <v>18</v>
      </c>
      <c r="C7" s="115">
        <v>3.1172199844936316E-2</v>
      </c>
      <c r="D7" s="115">
        <v>1.8241542244180089E-2</v>
      </c>
      <c r="E7" s="115">
        <v>3.2292449057911635E-2</v>
      </c>
      <c r="F7" s="115">
        <v>4.331148048320075E-2</v>
      </c>
      <c r="G7" s="115">
        <v>2.3121665918886009E-2</v>
      </c>
      <c r="H7" s="115">
        <v>2.160595398235414E-2</v>
      </c>
      <c r="I7" s="115">
        <v>1.9647643726254525E-2</v>
      </c>
      <c r="J7" s="55">
        <v>81500.899999999994</v>
      </c>
      <c r="K7" s="28"/>
      <c r="L7" s="29"/>
      <c r="M7" s="29"/>
      <c r="N7" s="29"/>
      <c r="O7" s="29"/>
      <c r="P7" s="29"/>
      <c r="Q7" s="29"/>
      <c r="R7" s="29"/>
      <c r="S7" s="30"/>
      <c r="T7" s="30"/>
      <c r="U7" s="31"/>
      <c r="V7" s="2"/>
    </row>
    <row r="8" spans="1:22" s="3" customFormat="1" ht="35.1" customHeight="1">
      <c r="A8" s="113">
        <v>6</v>
      </c>
      <c r="B8" s="114" t="s">
        <v>19</v>
      </c>
      <c r="C8" s="115">
        <v>2.2592218561790202E-2</v>
      </c>
      <c r="D8" s="115">
        <v>2.4452703780712806E-2</v>
      </c>
      <c r="E8" s="115">
        <v>2.2668898919287847E-2</v>
      </c>
      <c r="F8" s="115">
        <v>8.597195602380401E-3</v>
      </c>
      <c r="G8" s="115">
        <v>7.8751774578329457E-3</v>
      </c>
      <c r="H8" s="115">
        <v>2.113360104713255E-2</v>
      </c>
      <c r="I8" s="115">
        <v>8.9850677882885432E-3</v>
      </c>
      <c r="J8" s="55">
        <v>50645</v>
      </c>
      <c r="K8" s="28"/>
      <c r="L8" s="29"/>
      <c r="M8" s="29"/>
      <c r="N8" s="29"/>
      <c r="O8" s="29"/>
      <c r="P8" s="29"/>
      <c r="Q8" s="29"/>
      <c r="R8" s="29"/>
      <c r="S8" s="30"/>
      <c r="T8" s="30"/>
      <c r="U8" s="31"/>
      <c r="V8" s="2"/>
    </row>
    <row r="9" spans="1:22" s="3" customFormat="1" ht="35.1" customHeight="1">
      <c r="A9" s="113">
        <v>7</v>
      </c>
      <c r="B9" s="114" t="s">
        <v>20</v>
      </c>
      <c r="C9" s="115">
        <v>1.0920153478848598E-2</v>
      </c>
      <c r="D9" s="115">
        <v>1.8634022625014467E-2</v>
      </c>
      <c r="E9" s="115">
        <v>2.6493662388300712E-2</v>
      </c>
      <c r="F9" s="115">
        <v>2.377253232608971E-2</v>
      </c>
      <c r="G9" s="115">
        <v>2.2283838679723438E-2</v>
      </c>
      <c r="H9" s="115">
        <v>2.6568236187660122E-2</v>
      </c>
      <c r="I9" s="115">
        <v>1.0488686746025305E-2</v>
      </c>
      <c r="J9" s="55">
        <v>78711</v>
      </c>
      <c r="K9" s="28"/>
      <c r="L9" s="29"/>
      <c r="M9" s="29"/>
      <c r="N9" s="29"/>
      <c r="O9" s="29"/>
      <c r="P9" s="29"/>
      <c r="Q9" s="29"/>
      <c r="R9" s="29"/>
      <c r="S9" s="30"/>
      <c r="T9" s="30"/>
      <c r="U9" s="31"/>
      <c r="V9" s="2"/>
    </row>
    <row r="10" spans="1:22" s="3" customFormat="1" ht="35.1" customHeight="1">
      <c r="A10" s="113">
        <v>8</v>
      </c>
      <c r="B10" s="114" t="s">
        <v>21</v>
      </c>
      <c r="C10" s="115">
        <v>4.8063922379058661E-2</v>
      </c>
      <c r="D10" s="115">
        <v>3.5950527725654449E-2</v>
      </c>
      <c r="E10" s="115">
        <v>5.9365652726332201E-2</v>
      </c>
      <c r="F10" s="115">
        <v>7.3211792721407612E-2</v>
      </c>
      <c r="G10" s="115">
        <v>5.9978513316399355E-2</v>
      </c>
      <c r="H10" s="115">
        <v>4.1314328380303418E-2</v>
      </c>
      <c r="I10" s="115">
        <v>8.8940097570591237E-2</v>
      </c>
      <c r="J10" s="55">
        <v>133971</v>
      </c>
      <c r="K10" s="28"/>
      <c r="L10" s="29"/>
      <c r="M10" s="29"/>
      <c r="N10" s="29"/>
      <c r="O10" s="29"/>
      <c r="P10" s="29"/>
      <c r="Q10" s="29"/>
      <c r="R10" s="29"/>
      <c r="S10" s="30"/>
      <c r="T10" s="30"/>
      <c r="U10" s="31"/>
      <c r="V10" s="2"/>
    </row>
    <row r="11" spans="1:22" s="3" customFormat="1" ht="35.1" customHeight="1">
      <c r="A11" s="113">
        <v>9</v>
      </c>
      <c r="B11" s="114" t="s">
        <v>22</v>
      </c>
      <c r="C11" s="115">
        <v>2.1549732719064321E-2</v>
      </c>
      <c r="D11" s="115">
        <v>2.6077879771808091E-2</v>
      </c>
      <c r="E11" s="115">
        <v>5.1658174130881649E-3</v>
      </c>
      <c r="F11" s="115">
        <v>5.1951691135081329E-3</v>
      </c>
      <c r="G11" s="115">
        <v>3.2615077658171739E-3</v>
      </c>
      <c r="H11" s="115">
        <v>1.3938177423350398E-2</v>
      </c>
      <c r="I11" s="115">
        <v>6.8626424011918241E-3</v>
      </c>
      <c r="J11" s="55">
        <v>50880</v>
      </c>
      <c r="K11" s="28"/>
      <c r="L11" s="29"/>
      <c r="M11" s="29"/>
      <c r="N11" s="29"/>
      <c r="O11" s="29"/>
      <c r="P11" s="29"/>
      <c r="Q11" s="29"/>
      <c r="R11" s="29"/>
      <c r="S11" s="30"/>
      <c r="T11" s="30"/>
      <c r="U11" s="31"/>
      <c r="V11" s="2"/>
    </row>
    <row r="12" spans="1:22" s="3" customFormat="1" ht="35.1" customHeight="1">
      <c r="A12" s="113">
        <v>10</v>
      </c>
      <c r="B12" s="114" t="s">
        <v>23</v>
      </c>
      <c r="C12" s="115">
        <v>3.1873954221312478E-2</v>
      </c>
      <c r="D12" s="115">
        <v>2.8686409394604342E-2</v>
      </c>
      <c r="E12" s="115">
        <v>2.1705359534799417E-2</v>
      </c>
      <c r="F12" s="115">
        <v>2.8792357440379297E-2</v>
      </c>
      <c r="G12" s="115">
        <v>1.2265935516229728E-2</v>
      </c>
      <c r="H12" s="115">
        <v>2.4882245105920631E-2</v>
      </c>
      <c r="I12" s="115">
        <v>1.5584307587965562E-2</v>
      </c>
      <c r="J12" s="55">
        <v>66206</v>
      </c>
      <c r="K12" s="28"/>
      <c r="L12" s="29"/>
      <c r="M12" s="29"/>
      <c r="N12" s="29"/>
      <c r="O12" s="29"/>
      <c r="P12" s="29"/>
      <c r="Q12" s="29"/>
      <c r="R12" s="29"/>
      <c r="S12" s="30"/>
      <c r="T12" s="30"/>
      <c r="U12" s="31"/>
      <c r="V12" s="2"/>
    </row>
    <row r="13" spans="1:22" s="3" customFormat="1" ht="35.1" customHeight="1">
      <c r="A13" s="113">
        <v>11</v>
      </c>
      <c r="B13" s="114" t="s">
        <v>24</v>
      </c>
      <c r="C13" s="115">
        <v>2.5083689565998785E-2</v>
      </c>
      <c r="D13" s="115">
        <v>2.4997964619135487E-2</v>
      </c>
      <c r="E13" s="115">
        <v>3.550567177197058E-2</v>
      </c>
      <c r="F13" s="115">
        <v>9.3865072562407531E-3</v>
      </c>
      <c r="G13" s="115">
        <v>1.8048547487284013E-2</v>
      </c>
      <c r="H13" s="115">
        <v>2.5951437178439927E-2</v>
      </c>
      <c r="I13" s="115">
        <v>2.3964154144282396E-2</v>
      </c>
      <c r="J13" s="55">
        <v>76940</v>
      </c>
      <c r="K13" s="28"/>
      <c r="L13" s="29"/>
      <c r="M13" s="29"/>
      <c r="N13" s="29"/>
      <c r="O13" s="29"/>
      <c r="P13" s="29"/>
      <c r="Q13" s="29"/>
      <c r="R13" s="29"/>
      <c r="S13" s="30"/>
      <c r="T13" s="30"/>
      <c r="U13" s="31"/>
      <c r="V13" s="2"/>
    </row>
    <row r="14" spans="1:22" s="3" customFormat="1" ht="35.1" customHeight="1">
      <c r="A14" s="113">
        <v>12</v>
      </c>
      <c r="B14" s="114" t="s">
        <v>25</v>
      </c>
      <c r="C14" s="115">
        <v>7.4234297526705503E-2</v>
      </c>
      <c r="D14" s="115">
        <v>5.8160744603943576E-2</v>
      </c>
      <c r="E14" s="115">
        <v>6.1077194849434926E-2</v>
      </c>
      <c r="F14" s="115">
        <v>4.9522770875504614E-2</v>
      </c>
      <c r="G14" s="115">
        <v>8.8605988711688691E-2</v>
      </c>
      <c r="H14" s="115">
        <v>5.4044297077182502E-2</v>
      </c>
      <c r="I14" s="115">
        <v>7.755381751543082E-2</v>
      </c>
      <c r="J14" s="55">
        <v>193886</v>
      </c>
      <c r="K14" s="28"/>
      <c r="L14" s="29"/>
      <c r="M14" s="29"/>
      <c r="N14" s="29"/>
      <c r="O14" s="29"/>
      <c r="P14" s="29"/>
      <c r="Q14" s="29"/>
      <c r="R14" s="29"/>
      <c r="S14" s="30"/>
      <c r="T14" s="30"/>
      <c r="U14" s="31"/>
      <c r="V14" s="2"/>
    </row>
    <row r="15" spans="1:22" s="3" customFormat="1" ht="35.1" customHeight="1">
      <c r="A15" s="113">
        <v>13</v>
      </c>
      <c r="B15" s="114" t="s">
        <v>26</v>
      </c>
      <c r="C15" s="115">
        <v>3.0165766374193829E-2</v>
      </c>
      <c r="D15" s="115">
        <v>3.6383558971054032E-2</v>
      </c>
      <c r="E15" s="115">
        <v>1.3786975654832712E-2</v>
      </c>
      <c r="F15" s="115">
        <v>1.9540973302907074E-2</v>
      </c>
      <c r="G15" s="115">
        <v>8.3521077191026361E-3</v>
      </c>
      <c r="H15" s="115">
        <v>2.2655148470397408E-2</v>
      </c>
      <c r="I15" s="115">
        <v>1.0575910118349784E-2</v>
      </c>
      <c r="J15" s="55">
        <v>69536</v>
      </c>
      <c r="K15" s="28"/>
      <c r="L15" s="29"/>
      <c r="M15" s="29"/>
      <c r="N15" s="29"/>
      <c r="O15" s="29"/>
      <c r="P15" s="29"/>
      <c r="Q15" s="29"/>
      <c r="R15" s="29"/>
      <c r="S15" s="30"/>
      <c r="T15" s="30"/>
      <c r="U15" s="31"/>
      <c r="V15" s="2"/>
    </row>
    <row r="16" spans="1:22" s="3" customFormat="1" ht="35.1" customHeight="1">
      <c r="A16" s="113">
        <v>14</v>
      </c>
      <c r="B16" s="114" t="s">
        <v>27</v>
      </c>
      <c r="C16" s="115">
        <v>4.0650820944347098E-2</v>
      </c>
      <c r="D16" s="115">
        <v>6.0880541850742924E-2</v>
      </c>
      <c r="E16" s="115">
        <v>4.9669310860408843E-2</v>
      </c>
      <c r="F16" s="115">
        <v>3.7729086031603735E-2</v>
      </c>
      <c r="G16" s="115">
        <v>5.0370930871754184E-2</v>
      </c>
      <c r="H16" s="115">
        <v>6.3596314719933142E-2</v>
      </c>
      <c r="I16" s="115">
        <v>4.7719098399916463E-2</v>
      </c>
      <c r="J16" s="55">
        <v>156779.4</v>
      </c>
      <c r="K16" s="28"/>
      <c r="L16" s="29"/>
      <c r="M16" s="29"/>
      <c r="N16" s="29"/>
      <c r="O16" s="29"/>
      <c r="P16" s="29"/>
      <c r="Q16" s="29"/>
      <c r="R16" s="29"/>
      <c r="S16" s="30"/>
      <c r="T16" s="30"/>
      <c r="U16" s="31"/>
      <c r="V16" s="2"/>
    </row>
    <row r="17" spans="1:22" s="3" customFormat="1" ht="35.1" customHeight="1">
      <c r="A17" s="113">
        <v>15</v>
      </c>
      <c r="B17" s="114" t="s">
        <v>28</v>
      </c>
      <c r="C17" s="115">
        <v>2.9231140228443878E-2</v>
      </c>
      <c r="D17" s="115">
        <v>2.0552805503878616E-2</v>
      </c>
      <c r="E17" s="115">
        <v>1.725923882724718E-2</v>
      </c>
      <c r="F17" s="115">
        <v>1.8729116379866555E-2</v>
      </c>
      <c r="G17" s="115">
        <v>1.6925008291116071E-2</v>
      </c>
      <c r="H17" s="115">
        <v>1.8366249818947394E-2</v>
      </c>
      <c r="I17" s="115">
        <v>1.9216399335185264E-2</v>
      </c>
      <c r="J17" s="55">
        <v>48435</v>
      </c>
      <c r="K17" s="28"/>
      <c r="L17" s="29"/>
      <c r="M17" s="29"/>
      <c r="N17" s="29"/>
      <c r="O17" s="29"/>
      <c r="P17" s="29"/>
      <c r="Q17" s="29"/>
      <c r="R17" s="29"/>
      <c r="S17" s="30"/>
      <c r="T17" s="30"/>
      <c r="U17" s="31"/>
      <c r="V17" s="2"/>
    </row>
    <row r="18" spans="1:22" s="3" customFormat="1" ht="35.1" customHeight="1">
      <c r="A18" s="113">
        <v>16</v>
      </c>
      <c r="B18" s="114" t="s">
        <v>29</v>
      </c>
      <c r="C18" s="115">
        <v>1.8191038998138401E-2</v>
      </c>
      <c r="D18" s="115">
        <v>3.9773085955456713E-2</v>
      </c>
      <c r="E18" s="115">
        <v>2.5258584757250908E-2</v>
      </c>
      <c r="F18" s="115">
        <v>2.2325873801052817E-2</v>
      </c>
      <c r="G18" s="115">
        <v>1.5453791142313433E-2</v>
      </c>
      <c r="H18" s="115">
        <v>3.9224510756449296E-2</v>
      </c>
      <c r="I18" s="115">
        <v>1.7439592840655521E-2</v>
      </c>
      <c r="J18" s="55">
        <v>66981</v>
      </c>
      <c r="K18" s="28"/>
      <c r="L18" s="29"/>
      <c r="M18" s="29"/>
      <c r="N18" s="29"/>
      <c r="O18" s="29"/>
      <c r="P18" s="29"/>
      <c r="Q18" s="29"/>
      <c r="R18" s="29"/>
      <c r="S18" s="30"/>
      <c r="T18" s="30"/>
      <c r="U18" s="31"/>
      <c r="V18" s="2"/>
    </row>
    <row r="19" spans="1:22" s="3" customFormat="1" ht="35.1" customHeight="1">
      <c r="A19" s="113">
        <v>17</v>
      </c>
      <c r="B19" s="114" t="s">
        <v>30</v>
      </c>
      <c r="C19" s="115">
        <v>1.9314693348364245E-2</v>
      </c>
      <c r="D19" s="115">
        <v>1.5331810555505081E-2</v>
      </c>
      <c r="E19" s="115">
        <v>4.4286591595168172E-2</v>
      </c>
      <c r="F19" s="115">
        <v>3.3736902901476601E-2</v>
      </c>
      <c r="G19" s="115">
        <v>3.1334424060685429E-2</v>
      </c>
      <c r="H19" s="115">
        <v>2.6395262933721735E-2</v>
      </c>
      <c r="I19" s="115">
        <v>1.3545644490053204E-2</v>
      </c>
      <c r="J19" s="55">
        <v>72094</v>
      </c>
      <c r="K19" s="28"/>
      <c r="L19" s="29"/>
      <c r="M19" s="29"/>
      <c r="N19" s="29"/>
      <c r="O19" s="29"/>
      <c r="P19" s="29"/>
      <c r="Q19" s="29"/>
      <c r="R19" s="29"/>
      <c r="S19" s="30"/>
      <c r="T19" s="30"/>
      <c r="U19" s="31"/>
      <c r="V19" s="2"/>
    </row>
    <row r="20" spans="1:22" s="3" customFormat="1" ht="35.1" customHeight="1">
      <c r="A20" s="113">
        <v>18</v>
      </c>
      <c r="B20" s="114" t="s">
        <v>31</v>
      </c>
      <c r="C20" s="115">
        <v>4.717662274291707E-2</v>
      </c>
      <c r="D20" s="115">
        <v>5.6796465470405552E-2</v>
      </c>
      <c r="E20" s="115">
        <v>3.4448136190138937E-2</v>
      </c>
      <c r="F20" s="115">
        <v>6.2231347167571102E-2</v>
      </c>
      <c r="G20" s="115">
        <v>4.7511916753122836E-2</v>
      </c>
      <c r="H20" s="115">
        <v>4.3630239684358321E-2</v>
      </c>
      <c r="I20" s="115">
        <v>6.223190151707958E-2</v>
      </c>
      <c r="J20" s="55">
        <v>189679</v>
      </c>
      <c r="K20" s="28"/>
      <c r="L20" s="29"/>
      <c r="M20" s="29"/>
      <c r="N20" s="29"/>
      <c r="O20" s="29"/>
      <c r="P20" s="29"/>
      <c r="Q20" s="29"/>
      <c r="R20" s="29"/>
      <c r="S20" s="30"/>
      <c r="T20" s="30"/>
      <c r="U20" s="31"/>
      <c r="V20" s="2"/>
    </row>
    <row r="21" spans="1:22" s="3" customFormat="1" ht="35.1" customHeight="1">
      <c r="A21" s="113">
        <v>19</v>
      </c>
      <c r="B21" s="114" t="s">
        <v>32</v>
      </c>
      <c r="C21" s="115">
        <v>2.9183518577188802E-2</v>
      </c>
      <c r="D21" s="115">
        <v>2.5177798998390469E-2</v>
      </c>
      <c r="E21" s="115">
        <v>1.9318238947677053E-2</v>
      </c>
      <c r="F21" s="115">
        <v>3.6360710484440076E-2</v>
      </c>
      <c r="G21" s="115">
        <v>2.2301323935277024E-2</v>
      </c>
      <c r="H21" s="115">
        <v>2.5236947594835888E-2</v>
      </c>
      <c r="I21" s="115">
        <v>2.1161095870921631E-2</v>
      </c>
      <c r="J21" s="55">
        <v>58318</v>
      </c>
      <c r="K21" s="28"/>
      <c r="L21" s="29"/>
      <c r="M21" s="29"/>
      <c r="N21" s="29"/>
      <c r="O21" s="29"/>
      <c r="P21" s="29"/>
      <c r="Q21" s="29"/>
      <c r="R21" s="29"/>
      <c r="S21" s="30"/>
      <c r="T21" s="30"/>
      <c r="U21" s="31"/>
      <c r="V21" s="2"/>
    </row>
    <row r="22" spans="1:22" s="3" customFormat="1" ht="35.1" customHeight="1">
      <c r="A22" s="113">
        <v>20</v>
      </c>
      <c r="B22" s="114" t="s">
        <v>33</v>
      </c>
      <c r="C22" s="115">
        <v>1.8347801115367157E-2</v>
      </c>
      <c r="D22" s="115">
        <v>2.3388481985018774E-2</v>
      </c>
      <c r="E22" s="115">
        <v>2.4344799906055658E-2</v>
      </c>
      <c r="F22" s="115">
        <v>2.2954083910795491E-2</v>
      </c>
      <c r="G22" s="115">
        <v>2.147319452757325E-2</v>
      </c>
      <c r="H22" s="115">
        <v>2.7234796378055984E-2</v>
      </c>
      <c r="I22" s="115">
        <v>2.9315795071634093E-2</v>
      </c>
      <c r="J22" s="55">
        <v>44620</v>
      </c>
      <c r="K22" s="28"/>
      <c r="L22" s="29"/>
      <c r="M22" s="29"/>
      <c r="N22" s="29"/>
      <c r="O22" s="29"/>
      <c r="P22" s="29"/>
      <c r="Q22" s="29"/>
      <c r="R22" s="29"/>
      <c r="S22" s="30"/>
      <c r="T22" s="30"/>
      <c r="U22" s="31"/>
      <c r="V22" s="2"/>
    </row>
    <row r="23" spans="1:22" s="3" customFormat="1" ht="35.1" customHeight="1">
      <c r="A23" s="113">
        <v>21</v>
      </c>
      <c r="B23" s="114" t="s">
        <v>34</v>
      </c>
      <c r="C23" s="115">
        <v>2.4655541060897262E-2</v>
      </c>
      <c r="D23" s="115">
        <v>2.1702152653853911E-2</v>
      </c>
      <c r="E23" s="115">
        <v>2.9772558361909181E-2</v>
      </c>
      <c r="F23" s="115">
        <v>9.7678904648663984E-3</v>
      </c>
      <c r="G23" s="115">
        <v>1.8596960389792642E-2</v>
      </c>
      <c r="H23" s="115">
        <v>2.5761512263735027E-2</v>
      </c>
      <c r="I23" s="115">
        <v>1.6741470101065407E-2</v>
      </c>
      <c r="J23" s="55">
        <v>64379</v>
      </c>
      <c r="K23" s="28"/>
      <c r="L23" s="29"/>
      <c r="M23" s="29"/>
      <c r="N23" s="29"/>
      <c r="O23" s="29"/>
      <c r="P23" s="29"/>
      <c r="Q23" s="29"/>
      <c r="R23" s="29"/>
      <c r="S23" s="30"/>
      <c r="T23" s="30"/>
      <c r="U23" s="31"/>
      <c r="V23" s="2"/>
    </row>
    <row r="24" spans="1:22" s="3" customFormat="1" ht="35.1" customHeight="1">
      <c r="A24" s="113">
        <v>22</v>
      </c>
      <c r="B24" s="114" t="s">
        <v>35</v>
      </c>
      <c r="C24" s="115">
        <v>4.810544215895423E-2</v>
      </c>
      <c r="D24" s="115">
        <v>3.8367609666542755E-2</v>
      </c>
      <c r="E24" s="115">
        <v>3.1928041228186078E-2</v>
      </c>
      <c r="F24" s="115">
        <v>2.5850422672025336E-2</v>
      </c>
      <c r="G24" s="115">
        <v>1.9722473113341268E-2</v>
      </c>
      <c r="H24" s="115">
        <v>2.9919874687595101E-2</v>
      </c>
      <c r="I24" s="115">
        <v>1.4164626864200471E-2</v>
      </c>
      <c r="J24" s="55">
        <v>103365</v>
      </c>
      <c r="K24" s="28"/>
      <c r="L24" s="29"/>
      <c r="M24" s="29"/>
      <c r="N24" s="29"/>
      <c r="O24" s="29"/>
      <c r="P24" s="29"/>
      <c r="Q24" s="29"/>
      <c r="R24" s="29"/>
      <c r="S24" s="30"/>
      <c r="T24" s="30"/>
      <c r="U24" s="31"/>
      <c r="V24" s="2"/>
    </row>
    <row r="25" spans="1:22" s="3" customFormat="1" ht="35.1" customHeight="1">
      <c r="A25" s="113">
        <v>23</v>
      </c>
      <c r="B25" s="114" t="s">
        <v>36</v>
      </c>
      <c r="C25" s="115">
        <v>3.1840742587678661E-2</v>
      </c>
      <c r="D25" s="115">
        <v>3.1331644729288607E-2</v>
      </c>
      <c r="E25" s="115">
        <v>3.8062107743760426E-2</v>
      </c>
      <c r="F25" s="115">
        <v>2.5622285118629587E-2</v>
      </c>
      <c r="G25" s="115">
        <v>3.326484619804463E-2</v>
      </c>
      <c r="H25" s="115">
        <v>3.0864275970160171E-2</v>
      </c>
      <c r="I25" s="115">
        <v>4.1707442404230133E-2</v>
      </c>
      <c r="J25" s="55">
        <v>92226</v>
      </c>
      <c r="K25" s="28"/>
      <c r="L25" s="29"/>
      <c r="M25" s="29"/>
      <c r="N25" s="29"/>
      <c r="O25" s="29"/>
      <c r="P25" s="29"/>
      <c r="Q25" s="29"/>
      <c r="R25" s="29"/>
      <c r="S25" s="30"/>
      <c r="T25" s="30"/>
      <c r="U25" s="31"/>
      <c r="V25" s="2"/>
    </row>
    <row r="26" spans="1:22" s="3" customFormat="1" ht="35.1" customHeight="1">
      <c r="A26" s="113">
        <v>24</v>
      </c>
      <c r="B26" s="114" t="s">
        <v>37</v>
      </c>
      <c r="C26" s="115">
        <v>2.4081023705906878E-2</v>
      </c>
      <c r="D26" s="115">
        <v>2.63860567682574E-2</v>
      </c>
      <c r="E26" s="115">
        <v>1.7140575804847905E-2</v>
      </c>
      <c r="F26" s="115">
        <v>1.1131735961117854E-2</v>
      </c>
      <c r="G26" s="115">
        <v>9.6156800100504949E-3</v>
      </c>
      <c r="H26" s="115">
        <v>2.00409777276555E-2</v>
      </c>
      <c r="I26" s="115">
        <v>8.0098920541424382E-3</v>
      </c>
      <c r="J26" s="55">
        <v>67897</v>
      </c>
      <c r="K26" s="28"/>
      <c r="L26" s="29"/>
      <c r="M26" s="29"/>
      <c r="N26" s="29"/>
      <c r="O26" s="29"/>
      <c r="P26" s="29"/>
      <c r="Q26" s="29"/>
      <c r="R26" s="29"/>
      <c r="S26" s="30"/>
      <c r="T26" s="30"/>
      <c r="U26" s="31"/>
      <c r="V26" s="2"/>
    </row>
    <row r="27" spans="1:22" s="3" customFormat="1" ht="35.1" customHeight="1">
      <c r="A27" s="113">
        <v>25</v>
      </c>
      <c r="B27" s="114" t="s">
        <v>38</v>
      </c>
      <c r="C27" s="115">
        <v>2.695821341524407E-2</v>
      </c>
      <c r="D27" s="115">
        <v>3.0586862729148831E-2</v>
      </c>
      <c r="E27" s="115">
        <v>3.5443314494303713E-2</v>
      </c>
      <c r="F27" s="115">
        <v>5.7441467341651294E-2</v>
      </c>
      <c r="G27" s="115">
        <v>3.3524100279424977E-2</v>
      </c>
      <c r="H27" s="115">
        <v>3.7131990530140421E-2</v>
      </c>
      <c r="I27" s="115">
        <v>5.1765660638020801E-2</v>
      </c>
      <c r="J27" s="55">
        <v>89755</v>
      </c>
      <c r="K27" s="28"/>
      <c r="L27" s="29"/>
      <c r="M27" s="29"/>
      <c r="N27" s="29"/>
      <c r="O27" s="29"/>
      <c r="P27" s="29"/>
      <c r="Q27" s="29"/>
      <c r="R27" s="29"/>
      <c r="S27" s="30"/>
      <c r="T27" s="30"/>
      <c r="U27" s="31"/>
      <c r="V27" s="2"/>
    </row>
    <row r="28" spans="1:22" s="3" customFormat="1" ht="35.1" customHeight="1">
      <c r="A28" s="113">
        <v>26</v>
      </c>
      <c r="B28" s="114" t="s">
        <v>39</v>
      </c>
      <c r="C28" s="115">
        <v>2.4633642279456282E-2</v>
      </c>
      <c r="D28" s="115">
        <v>2.9102748898400959E-2</v>
      </c>
      <c r="E28" s="115">
        <v>3.3349643511722614E-2</v>
      </c>
      <c r="F28" s="115">
        <v>4.0719921480343285E-2</v>
      </c>
      <c r="G28" s="115">
        <v>4.2083550778308644E-2</v>
      </c>
      <c r="H28" s="115">
        <v>3.5854845845830853E-2</v>
      </c>
      <c r="I28" s="115">
        <v>2.8054387362968346E-2</v>
      </c>
      <c r="J28" s="55">
        <v>86852</v>
      </c>
      <c r="K28" s="28"/>
      <c r="L28" s="29"/>
      <c r="M28" s="29"/>
      <c r="N28" s="29"/>
      <c r="O28" s="29"/>
      <c r="P28" s="29"/>
      <c r="Q28" s="29"/>
      <c r="R28" s="29"/>
      <c r="S28" s="30"/>
      <c r="T28" s="30"/>
      <c r="U28" s="31"/>
      <c r="V28" s="2"/>
    </row>
    <row r="29" spans="1:22" s="3" customFormat="1" ht="35.1" customHeight="1">
      <c r="A29" s="113">
        <v>27</v>
      </c>
      <c r="B29" s="114" t="s">
        <v>40</v>
      </c>
      <c r="C29" s="115">
        <v>2.9739817312011991E-2</v>
      </c>
      <c r="D29" s="115">
        <v>3.0441870228420514E-2</v>
      </c>
      <c r="E29" s="115">
        <v>3.5774696940671397E-2</v>
      </c>
      <c r="F29" s="115">
        <v>8.8503212251087038E-3</v>
      </c>
      <c r="G29" s="115">
        <v>3.2122472952075209E-2</v>
      </c>
      <c r="H29" s="115">
        <v>3.0903016118743742E-2</v>
      </c>
      <c r="I29" s="115">
        <v>5.8301375700021328E-2</v>
      </c>
      <c r="J29" s="56">
        <v>98381.3</v>
      </c>
      <c r="K29" s="28"/>
      <c r="L29" s="29"/>
      <c r="M29" s="29"/>
      <c r="N29" s="29"/>
      <c r="O29" s="29"/>
      <c r="P29" s="29"/>
      <c r="Q29" s="29"/>
      <c r="R29" s="29"/>
      <c r="S29" s="30"/>
      <c r="T29" s="30"/>
      <c r="U29" s="31"/>
      <c r="V29" s="2"/>
    </row>
    <row r="30" spans="1:22" s="3" customFormat="1" ht="35.1" customHeight="1">
      <c r="A30" s="113">
        <v>28</v>
      </c>
      <c r="B30" s="114" t="s">
        <v>41</v>
      </c>
      <c r="C30" s="115">
        <v>2.4971599960885535E-2</v>
      </c>
      <c r="D30" s="115">
        <v>4.5817597557582385E-2</v>
      </c>
      <c r="E30" s="115">
        <v>5.6320269507479703E-2</v>
      </c>
      <c r="F30" s="115">
        <v>4.3440600887743167E-2</v>
      </c>
      <c r="G30" s="115">
        <v>0.10732061535376122</v>
      </c>
      <c r="H30" s="115">
        <v>6.2660359704056576E-2</v>
      </c>
      <c r="I30" s="115">
        <v>7.7617686967764887E-2</v>
      </c>
      <c r="J30" s="57">
        <v>121272</v>
      </c>
      <c r="K30" s="28"/>
      <c r="L30" s="29"/>
      <c r="M30" s="29"/>
      <c r="N30" s="29"/>
      <c r="O30" s="29"/>
      <c r="P30" s="29"/>
      <c r="Q30" s="29"/>
      <c r="R30" s="29"/>
      <c r="S30" s="30"/>
      <c r="T30" s="30"/>
      <c r="U30" s="31"/>
      <c r="V30" s="2"/>
    </row>
    <row r="31" spans="1:22" s="3" customFormat="1" ht="35.1" customHeight="1">
      <c r="A31" s="113">
        <v>29</v>
      </c>
      <c r="B31" s="114" t="s">
        <v>42</v>
      </c>
      <c r="C31" s="115">
        <v>4.4187705523542446E-2</v>
      </c>
      <c r="D31" s="115">
        <v>2.7197165955756549E-2</v>
      </c>
      <c r="E31" s="115">
        <v>2.609309882374931E-2</v>
      </c>
      <c r="F31" s="115">
        <v>1.5410256983822883E-2</v>
      </c>
      <c r="G31" s="115">
        <v>2.3379444532018179E-2</v>
      </c>
      <c r="H31" s="115">
        <v>2.6008524838693266E-2</v>
      </c>
      <c r="I31" s="115">
        <v>2.9631837241828326E-2</v>
      </c>
      <c r="J31" s="56">
        <v>84577</v>
      </c>
      <c r="K31" s="28"/>
      <c r="L31" s="29"/>
      <c r="M31" s="29"/>
      <c r="N31" s="29"/>
      <c r="O31" s="29"/>
      <c r="P31" s="29"/>
      <c r="Q31" s="29"/>
      <c r="R31" s="29"/>
      <c r="S31" s="30"/>
      <c r="T31" s="30"/>
      <c r="U31" s="31"/>
      <c r="V31" s="2"/>
    </row>
    <row r="32" spans="1:22" s="3" customFormat="1" ht="35.1" customHeight="1">
      <c r="A32" s="113">
        <v>30</v>
      </c>
      <c r="B32" s="114" t="s">
        <v>43</v>
      </c>
      <c r="C32" s="115">
        <v>8.5285892884474461E-3</v>
      </c>
      <c r="D32" s="115">
        <v>1.0736612582953758E-2</v>
      </c>
      <c r="E32" s="115">
        <v>2.1329795584586041E-2</v>
      </c>
      <c r="F32" s="115">
        <v>4.9764786311244126E-2</v>
      </c>
      <c r="G32" s="115">
        <v>2.0020412263494488E-2</v>
      </c>
      <c r="H32" s="115">
        <v>1.5186813380948256E-2</v>
      </c>
      <c r="I32" s="115">
        <v>1.8575934461635239E-2</v>
      </c>
      <c r="J32" s="55">
        <v>63468</v>
      </c>
      <c r="K32" s="28"/>
      <c r="L32" s="29"/>
      <c r="M32" s="29"/>
      <c r="N32" s="29"/>
      <c r="O32" s="29"/>
      <c r="P32" s="29"/>
      <c r="Q32" s="29"/>
      <c r="R32" s="29"/>
      <c r="S32" s="30"/>
      <c r="T32" s="30"/>
      <c r="U32" s="31"/>
      <c r="V32" s="2"/>
    </row>
    <row r="33" spans="1:22" s="3" customFormat="1" ht="35.1" customHeight="1">
      <c r="A33" s="113">
        <v>31</v>
      </c>
      <c r="B33" s="114" t="s">
        <v>44</v>
      </c>
      <c r="C33" s="115">
        <v>4.2017594582325277E-2</v>
      </c>
      <c r="D33" s="115">
        <v>3.2279860445442961E-2</v>
      </c>
      <c r="E33" s="115">
        <v>1.4361248404963865E-2</v>
      </c>
      <c r="F33" s="115">
        <v>2.9478085372470625E-2</v>
      </c>
      <c r="G33" s="115">
        <v>1.416704679654973E-2</v>
      </c>
      <c r="H33" s="115">
        <v>2.3782056221640941E-2</v>
      </c>
      <c r="I33" s="115">
        <v>1.9410826242069325E-2</v>
      </c>
      <c r="J33" s="55">
        <v>72274</v>
      </c>
      <c r="K33" s="28"/>
      <c r="L33" s="29"/>
      <c r="M33" s="29"/>
      <c r="N33" s="29"/>
      <c r="O33" s="29"/>
      <c r="P33" s="29"/>
      <c r="Q33" s="29"/>
      <c r="R33" s="29"/>
      <c r="S33" s="30"/>
      <c r="T33" s="30"/>
      <c r="U33" s="31"/>
      <c r="V33" s="2"/>
    </row>
    <row r="34" spans="1:22" s="3" customFormat="1" ht="35.1" customHeight="1">
      <c r="A34" s="113">
        <v>32</v>
      </c>
      <c r="B34" s="114" t="s">
        <v>45</v>
      </c>
      <c r="C34" s="115">
        <v>2.3191112886029822E-2</v>
      </c>
      <c r="D34" s="115">
        <v>1.535381225313205E-2</v>
      </c>
      <c r="E34" s="115">
        <v>2.3874213116563823E-2</v>
      </c>
      <c r="F34" s="115">
        <v>1.305960043608485E-2</v>
      </c>
      <c r="G34" s="115">
        <v>2.4004810189015888E-2</v>
      </c>
      <c r="H34" s="115">
        <v>1.9693195236195993E-2</v>
      </c>
      <c r="I34" s="115">
        <v>2.2572891019582972E-2</v>
      </c>
      <c r="J34" s="55">
        <v>53651</v>
      </c>
      <c r="K34" s="28"/>
      <c r="L34" s="29"/>
      <c r="M34" s="29"/>
      <c r="N34" s="29"/>
      <c r="O34" s="29"/>
      <c r="P34" s="29"/>
      <c r="Q34" s="29"/>
      <c r="R34" s="29"/>
      <c r="S34" s="30"/>
      <c r="T34" s="30"/>
      <c r="U34" s="31"/>
      <c r="V34" s="2"/>
    </row>
    <row r="35" spans="1:22" s="3" customFormat="1" ht="35.1" customHeight="1">
      <c r="A35" s="113">
        <v>33</v>
      </c>
      <c r="B35" s="114" t="s">
        <v>107</v>
      </c>
      <c r="C35" s="115">
        <f>SUM(C3:C34)</f>
        <v>1.0000000000000002</v>
      </c>
      <c r="D35" s="115">
        <f t="shared" ref="D35:I35" si="0">SUM(D3:D34)</f>
        <v>0.99999999999999978</v>
      </c>
      <c r="E35" s="115">
        <f t="shared" si="0"/>
        <v>0.99999999999999978</v>
      </c>
      <c r="F35" s="115">
        <f t="shared" si="0"/>
        <v>1</v>
      </c>
      <c r="G35" s="115">
        <f t="shared" si="0"/>
        <v>1.0000000000000004</v>
      </c>
      <c r="H35" s="115">
        <f t="shared" si="0"/>
        <v>1</v>
      </c>
      <c r="I35" s="115">
        <f t="shared" si="0"/>
        <v>1.0000000000000004</v>
      </c>
      <c r="J35" s="55"/>
      <c r="K35" s="28"/>
      <c r="L35" s="29"/>
      <c r="M35" s="29"/>
      <c r="N35" s="29"/>
      <c r="O35" s="29"/>
      <c r="P35" s="29"/>
      <c r="Q35" s="29"/>
      <c r="R35" s="29"/>
      <c r="S35" s="30"/>
      <c r="T35" s="30"/>
      <c r="U35" s="31"/>
      <c r="V35" s="2"/>
    </row>
    <row r="36" spans="1:22" s="3" customFormat="1" ht="35.1" customHeight="1">
      <c r="A36" s="543" t="s">
        <v>130</v>
      </c>
      <c r="B36" s="543"/>
      <c r="C36" s="115"/>
      <c r="D36" s="115"/>
      <c r="E36" s="115"/>
      <c r="F36" s="115"/>
      <c r="G36" s="115"/>
      <c r="H36" s="115"/>
      <c r="I36" s="115"/>
      <c r="J36" s="16"/>
      <c r="K36" s="2"/>
      <c r="L36" s="15"/>
      <c r="M36" s="15"/>
      <c r="N36" s="15"/>
      <c r="O36" s="15"/>
      <c r="P36" s="15"/>
      <c r="Q36" s="15"/>
      <c r="R36" s="15"/>
      <c r="S36" s="15"/>
      <c r="T36" s="15"/>
      <c r="U36" s="6"/>
      <c r="V36" s="2"/>
    </row>
    <row r="37" spans="1:22" s="3" customFormat="1" ht="42.75" customHeight="1">
      <c r="A37" s="543" t="s">
        <v>131</v>
      </c>
      <c r="B37" s="543"/>
      <c r="C37" s="544"/>
      <c r="D37" s="544"/>
      <c r="E37" s="544"/>
      <c r="F37" s="544"/>
      <c r="G37" s="544"/>
      <c r="H37" s="544"/>
      <c r="I37" s="116"/>
      <c r="J37" s="16"/>
      <c r="K37" s="2"/>
      <c r="L37" s="15"/>
      <c r="M37" s="15"/>
      <c r="N37" s="15"/>
      <c r="O37" s="15"/>
      <c r="P37" s="15"/>
      <c r="Q37" s="15"/>
      <c r="R37" s="15"/>
      <c r="S37" s="15"/>
      <c r="T37" s="15"/>
      <c r="U37" s="6"/>
      <c r="V37" s="2"/>
    </row>
    <row r="38" spans="1:22" s="3" customFormat="1" ht="42.75" customHeight="1">
      <c r="A38" s="543"/>
      <c r="B38" s="543"/>
      <c r="C38" s="115"/>
      <c r="D38" s="115"/>
      <c r="E38" s="115"/>
      <c r="F38" s="115"/>
      <c r="G38" s="115"/>
      <c r="H38" s="115"/>
      <c r="I38" s="115"/>
      <c r="J38" s="16"/>
      <c r="K38" s="2"/>
      <c r="L38" s="15"/>
      <c r="M38" s="15"/>
      <c r="N38" s="15"/>
      <c r="O38" s="15"/>
      <c r="P38" s="15"/>
      <c r="Q38" s="15"/>
      <c r="R38" s="15"/>
      <c r="S38" s="15"/>
      <c r="T38" s="15"/>
      <c r="U38" s="6"/>
      <c r="V38" s="2"/>
    </row>
    <row r="39" spans="1:22" ht="56.25" customHeight="1">
      <c r="A39" s="545"/>
      <c r="B39" s="545"/>
      <c r="C39" s="545"/>
      <c r="D39" s="545"/>
      <c r="E39" s="545"/>
      <c r="F39" s="545"/>
      <c r="G39" s="545"/>
      <c r="H39" s="545"/>
      <c r="I39" s="545"/>
    </row>
    <row r="40" spans="1:22">
      <c r="A40" s="109"/>
      <c r="B40" s="109"/>
      <c r="C40" s="109"/>
      <c r="D40" s="109"/>
      <c r="E40" s="109"/>
      <c r="F40" s="109"/>
      <c r="G40" s="109"/>
      <c r="H40" s="117"/>
      <c r="I40" s="109"/>
    </row>
    <row r="41" spans="1:22">
      <c r="A41" s="109"/>
      <c r="B41" s="109"/>
      <c r="C41" s="109"/>
      <c r="D41" s="109"/>
      <c r="E41" s="109"/>
      <c r="F41" s="109"/>
      <c r="G41" s="109"/>
      <c r="H41" s="118"/>
      <c r="I41" s="118"/>
    </row>
    <row r="42" spans="1:22" s="104" customFormat="1" ht="15">
      <c r="A42" s="119"/>
      <c r="B42" s="120"/>
      <c r="C42" s="120"/>
      <c r="D42" s="120"/>
      <c r="E42" s="120"/>
      <c r="F42" s="120"/>
      <c r="G42" s="120"/>
      <c r="H42" s="120"/>
      <c r="I42" s="119"/>
      <c r="J42" s="105"/>
      <c r="K42" s="106"/>
    </row>
    <row r="43" spans="1:22">
      <c r="A43" s="109"/>
      <c r="B43" s="109"/>
      <c r="C43" s="109"/>
      <c r="D43" s="109"/>
      <c r="E43" s="109"/>
      <c r="F43" s="109"/>
      <c r="G43" s="109"/>
      <c r="H43" s="109"/>
      <c r="I43" s="109"/>
    </row>
    <row r="44" spans="1:22">
      <c r="A44" s="109"/>
      <c r="B44" s="109"/>
      <c r="C44" s="109"/>
      <c r="D44" s="109"/>
      <c r="E44" s="109"/>
      <c r="F44" s="109"/>
      <c r="G44" s="109"/>
      <c r="H44" s="109"/>
      <c r="I44" s="109"/>
    </row>
    <row r="45" spans="1:22">
      <c r="A45" s="109"/>
      <c r="B45" s="109"/>
      <c r="C45" s="109"/>
      <c r="D45" s="109"/>
      <c r="E45" s="109"/>
      <c r="F45" s="109"/>
      <c r="G45" s="109"/>
      <c r="H45" s="109"/>
      <c r="I45" s="109"/>
    </row>
    <row r="46" spans="1:22">
      <c r="A46" s="109"/>
      <c r="B46" s="109"/>
      <c r="C46" s="109"/>
      <c r="D46" s="109"/>
      <c r="E46" s="109"/>
      <c r="F46" s="109"/>
      <c r="G46" s="109"/>
      <c r="H46" s="109"/>
      <c r="I46" s="109"/>
    </row>
    <row r="47" spans="1:22">
      <c r="A47" s="109"/>
      <c r="B47" s="109"/>
      <c r="C47" s="109"/>
      <c r="D47" s="109"/>
      <c r="E47" s="109"/>
      <c r="F47" s="109"/>
      <c r="G47" s="109"/>
      <c r="H47" s="109"/>
      <c r="I47" s="109"/>
    </row>
    <row r="48" spans="1:22">
      <c r="A48" s="109"/>
      <c r="B48" s="109"/>
      <c r="C48" s="109"/>
      <c r="D48" s="109"/>
      <c r="E48" s="109"/>
      <c r="F48" s="109"/>
      <c r="G48" s="109"/>
      <c r="H48" s="109"/>
      <c r="I48" s="109"/>
    </row>
    <row r="49" spans="1:9">
      <c r="A49" s="109"/>
      <c r="B49" s="109"/>
      <c r="C49" s="109"/>
      <c r="D49" s="109"/>
      <c r="E49" s="109"/>
      <c r="F49" s="109"/>
      <c r="G49" s="109"/>
      <c r="H49" s="109"/>
      <c r="I49" s="109"/>
    </row>
    <row r="50" spans="1:9">
      <c r="A50" s="109"/>
      <c r="B50" s="109"/>
      <c r="C50" s="109"/>
      <c r="D50" s="109"/>
      <c r="E50" s="109"/>
      <c r="F50" s="109"/>
      <c r="G50" s="109"/>
      <c r="H50" s="109"/>
      <c r="I50" s="109"/>
    </row>
    <row r="51" spans="1:9">
      <c r="A51" s="109"/>
      <c r="B51" s="109"/>
      <c r="C51" s="109"/>
      <c r="D51" s="109"/>
      <c r="E51" s="109"/>
      <c r="F51" s="109"/>
      <c r="G51" s="109"/>
      <c r="H51" s="109"/>
      <c r="I51" s="109"/>
    </row>
    <row r="52" spans="1:9">
      <c r="A52" s="109"/>
      <c r="B52" s="109"/>
      <c r="C52" s="109"/>
      <c r="D52" s="109"/>
      <c r="E52" s="109"/>
      <c r="F52" s="109"/>
      <c r="G52" s="109"/>
      <c r="H52" s="109"/>
      <c r="I52" s="109"/>
    </row>
    <row r="53" spans="1:9">
      <c r="A53" s="109"/>
      <c r="B53" s="109"/>
      <c r="C53" s="109"/>
      <c r="D53" s="109"/>
      <c r="E53" s="109"/>
      <c r="F53" s="109"/>
      <c r="G53" s="109"/>
      <c r="H53" s="109"/>
      <c r="I53" s="109"/>
    </row>
    <row r="54" spans="1:9">
      <c r="A54" s="109"/>
      <c r="B54" s="109"/>
      <c r="C54" s="109"/>
      <c r="D54" s="109"/>
      <c r="E54" s="109"/>
      <c r="F54" s="109"/>
      <c r="G54" s="109"/>
      <c r="H54" s="109"/>
      <c r="I54" s="109"/>
    </row>
    <row r="55" spans="1:9">
      <c r="A55" s="109"/>
      <c r="B55" s="109"/>
      <c r="C55" s="109"/>
      <c r="D55" s="109"/>
      <c r="E55" s="109"/>
      <c r="F55" s="109"/>
      <c r="G55" s="109"/>
      <c r="H55" s="109"/>
      <c r="I55" s="109"/>
    </row>
    <row r="56" spans="1:9">
      <c r="A56" s="109"/>
      <c r="B56" s="109"/>
      <c r="C56" s="109"/>
      <c r="D56" s="109"/>
      <c r="E56" s="109"/>
      <c r="F56" s="109"/>
      <c r="G56" s="109"/>
      <c r="H56" s="109"/>
      <c r="I56" s="109"/>
    </row>
    <row r="57" spans="1:9">
      <c r="A57" s="109"/>
      <c r="B57" s="109"/>
      <c r="C57" s="109"/>
      <c r="D57" s="109"/>
      <c r="E57" s="109"/>
      <c r="F57" s="109"/>
      <c r="G57" s="109"/>
      <c r="H57" s="109"/>
      <c r="I57" s="109"/>
    </row>
    <row r="58" spans="1:9">
      <c r="A58" s="109"/>
      <c r="B58" s="109"/>
      <c r="C58" s="109"/>
      <c r="D58" s="109"/>
      <c r="E58" s="109"/>
      <c r="F58" s="109"/>
      <c r="G58" s="109"/>
      <c r="H58" s="109"/>
      <c r="I58" s="109"/>
    </row>
    <row r="59" spans="1:9">
      <c r="A59" s="109"/>
      <c r="B59" s="109"/>
      <c r="C59" s="109"/>
      <c r="D59" s="109"/>
      <c r="E59" s="109"/>
      <c r="F59" s="109"/>
      <c r="G59" s="109"/>
      <c r="H59" s="109"/>
      <c r="I59" s="109"/>
    </row>
    <row r="60" spans="1:9">
      <c r="A60" s="109"/>
      <c r="B60" s="109"/>
      <c r="C60" s="109"/>
      <c r="D60" s="109"/>
      <c r="E60" s="109"/>
      <c r="F60" s="109"/>
      <c r="G60" s="109"/>
      <c r="H60" s="109"/>
      <c r="I60" s="109"/>
    </row>
    <row r="61" spans="1:9">
      <c r="A61" s="109"/>
      <c r="B61" s="109"/>
      <c r="C61" s="109"/>
      <c r="D61" s="109"/>
      <c r="E61" s="109"/>
      <c r="F61" s="109"/>
      <c r="G61" s="109"/>
      <c r="H61" s="109"/>
      <c r="I61" s="109"/>
    </row>
    <row r="62" spans="1:9">
      <c r="A62" s="109"/>
      <c r="B62" s="109"/>
      <c r="C62" s="109"/>
      <c r="D62" s="109"/>
      <c r="E62" s="109"/>
      <c r="F62" s="109"/>
      <c r="G62" s="109"/>
      <c r="H62" s="109"/>
      <c r="I62" s="109"/>
    </row>
    <row r="63" spans="1:9">
      <c r="A63" s="109"/>
      <c r="B63" s="109"/>
      <c r="C63" s="109"/>
      <c r="D63" s="109"/>
      <c r="E63" s="109"/>
      <c r="F63" s="109"/>
      <c r="G63" s="109"/>
      <c r="H63" s="109"/>
      <c r="I63" s="109"/>
    </row>
    <row r="64" spans="1:9">
      <c r="A64" s="109"/>
      <c r="B64" s="109"/>
      <c r="C64" s="109"/>
      <c r="D64" s="109"/>
      <c r="E64" s="109"/>
      <c r="F64" s="109"/>
      <c r="G64" s="109"/>
      <c r="H64" s="109"/>
      <c r="I64" s="109"/>
    </row>
    <row r="65" spans="1:9">
      <c r="A65" s="109"/>
      <c r="B65" s="109"/>
      <c r="C65" s="109"/>
      <c r="D65" s="109"/>
      <c r="E65" s="109"/>
      <c r="F65" s="109"/>
      <c r="G65" s="109"/>
      <c r="H65" s="109"/>
      <c r="I65" s="109"/>
    </row>
    <row r="66" spans="1:9">
      <c r="A66" s="109"/>
      <c r="B66" s="109"/>
      <c r="C66" s="109"/>
      <c r="D66" s="109"/>
      <c r="E66" s="109"/>
      <c r="F66" s="109"/>
      <c r="G66" s="109"/>
      <c r="H66" s="109"/>
      <c r="I66" s="109"/>
    </row>
    <row r="67" spans="1:9">
      <c r="A67" s="109"/>
      <c r="B67" s="109"/>
      <c r="C67" s="109"/>
      <c r="D67" s="109"/>
      <c r="E67" s="109"/>
      <c r="F67" s="109"/>
      <c r="G67" s="109"/>
      <c r="H67" s="109"/>
      <c r="I67" s="109"/>
    </row>
    <row r="68" spans="1:9">
      <c r="A68" s="109"/>
      <c r="B68" s="109"/>
      <c r="C68" s="109"/>
      <c r="D68" s="109"/>
      <c r="E68" s="109"/>
      <c r="F68" s="109"/>
      <c r="G68" s="109"/>
      <c r="H68" s="109"/>
      <c r="I68" s="109"/>
    </row>
    <row r="69" spans="1:9">
      <c r="A69" s="109"/>
      <c r="B69" s="109"/>
      <c r="C69" s="109"/>
      <c r="D69" s="109"/>
      <c r="E69" s="109"/>
      <c r="F69" s="109"/>
      <c r="G69" s="109"/>
      <c r="H69" s="109"/>
      <c r="I69" s="109"/>
    </row>
    <row r="70" spans="1:9">
      <c r="A70" s="109"/>
      <c r="B70" s="109"/>
      <c r="C70" s="109"/>
      <c r="D70" s="109"/>
      <c r="E70" s="109"/>
      <c r="F70" s="109"/>
      <c r="G70" s="109"/>
      <c r="H70" s="109"/>
      <c r="I70" s="109"/>
    </row>
    <row r="71" spans="1:9">
      <c r="A71" s="109"/>
      <c r="B71" s="109"/>
      <c r="C71" s="109"/>
      <c r="D71" s="109"/>
      <c r="E71" s="109"/>
      <c r="F71" s="109"/>
      <c r="G71" s="109"/>
      <c r="H71" s="109"/>
      <c r="I71" s="109"/>
    </row>
    <row r="72" spans="1:9">
      <c r="A72" s="109"/>
      <c r="B72" s="109"/>
      <c r="C72" s="109"/>
      <c r="D72" s="109"/>
      <c r="E72" s="109"/>
      <c r="F72" s="109"/>
      <c r="G72" s="109"/>
      <c r="H72" s="109"/>
      <c r="I72" s="109"/>
    </row>
    <row r="200" spans="1:9" s="107" customFormat="1" ht="15" hidden="1">
      <c r="A200" s="107">
        <v>5</v>
      </c>
      <c r="B200" s="107" t="str">
        <f>VLOOKUP(A200,A3:I35,2)</f>
        <v>البرز</v>
      </c>
      <c r="C200" s="108">
        <f>VLOOKUP(A200,A3:I35,3)</f>
        <v>3.1172199844936316E-2</v>
      </c>
      <c r="D200" s="108">
        <f>VLOOKUP(A200,A3:I35,4)</f>
        <v>1.8241542244180089E-2</v>
      </c>
      <c r="E200" s="108">
        <f>VLOOKUP(A200,A3:I35,5)</f>
        <v>3.2292449057911635E-2</v>
      </c>
      <c r="F200" s="108">
        <f>VLOOKUP(A200,A3:I35,6)</f>
        <v>4.331148048320075E-2</v>
      </c>
      <c r="G200" s="108">
        <f>VLOOKUP(A200,A3:I35,7)</f>
        <v>2.3121665918886009E-2</v>
      </c>
      <c r="H200" s="108">
        <f>VLOOKUP(A200,A3:I35,8)</f>
        <v>2.160595398235414E-2</v>
      </c>
      <c r="I200" s="108">
        <f>VLOOKUP(A200,A3:I35,9)</f>
        <v>1.9647643726254525E-2</v>
      </c>
    </row>
    <row r="201" spans="1:9" s="107" customFormat="1" ht="15" hidden="1">
      <c r="A201" s="107" t="s">
        <v>122</v>
      </c>
      <c r="B201" s="107" t="s">
        <v>11</v>
      </c>
    </row>
  </sheetData>
  <mergeCells count="5">
    <mergeCell ref="A1:I1"/>
    <mergeCell ref="A36:B36"/>
    <mergeCell ref="A37:B38"/>
    <mergeCell ref="C37:H37"/>
    <mergeCell ref="A39:I39"/>
  </mergeCells>
  <pageMargins left="0.7" right="0.7" top="0.75" bottom="0.75" header="0.3" footer="0.3"/>
  <pageSetup paperSize="9" scale="68" orientation="portrait" r:id="rId1"/>
  <rowBreaks count="1" manualBreakCount="1">
    <brk id="26" max="1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2"/>
  <sheetViews>
    <sheetView showGridLines="0" rightToLeft="1" workbookViewId="0">
      <pane xSplit="12" topLeftCell="M1" activePane="topRight" state="frozen"/>
      <selection pane="topRight" activeCell="L5" sqref="L5"/>
    </sheetView>
  </sheetViews>
  <sheetFormatPr defaultRowHeight="15"/>
  <cols>
    <col min="1" max="1" width="8.1640625" style="24" customWidth="1"/>
    <col min="2" max="2" width="15.83203125" style="24" customWidth="1"/>
    <col min="3" max="3" width="56.1640625" style="24" customWidth="1"/>
    <col min="4" max="5" width="12.83203125" style="24" customWidth="1"/>
    <col min="6" max="6" width="12.83203125" style="27" customWidth="1"/>
    <col min="7" max="10" width="12.83203125" style="24" customWidth="1"/>
    <col min="11" max="11" width="12.5" style="24" customWidth="1"/>
    <col min="12" max="12" width="12.83203125" style="24" customWidth="1"/>
    <col min="13" max="16384" width="9.33203125" style="24"/>
  </cols>
  <sheetData>
    <row r="1" spans="1:19" ht="41.25" customHeight="1">
      <c r="A1" s="363" t="s">
        <v>89</v>
      </c>
      <c r="B1" s="363"/>
      <c r="C1" s="363"/>
      <c r="D1" s="363"/>
      <c r="E1" s="363"/>
      <c r="F1" s="363"/>
      <c r="G1" s="363"/>
      <c r="H1" s="363"/>
      <c r="I1" s="363"/>
      <c r="J1" s="363"/>
      <c r="K1" s="363"/>
      <c r="L1" s="363"/>
      <c r="M1" s="1"/>
      <c r="N1" s="1"/>
      <c r="O1" s="1"/>
      <c r="P1" s="1"/>
      <c r="Q1" s="1"/>
      <c r="R1" s="2"/>
      <c r="S1" s="3"/>
    </row>
    <row r="2" spans="1:19" s="25" customFormat="1" ht="29.25" customHeight="1">
      <c r="A2" s="362" t="s">
        <v>0</v>
      </c>
      <c r="B2" s="362" t="s">
        <v>1</v>
      </c>
      <c r="C2" s="362" t="s">
        <v>53</v>
      </c>
      <c r="D2" s="362"/>
      <c r="E2" s="362" t="s">
        <v>54</v>
      </c>
      <c r="F2" s="362" t="s">
        <v>90</v>
      </c>
      <c r="G2" s="362"/>
      <c r="H2" s="362"/>
      <c r="I2" s="362"/>
      <c r="J2" s="362"/>
      <c r="K2" s="362"/>
      <c r="L2" s="362"/>
      <c r="M2" s="5"/>
      <c r="N2" s="5"/>
      <c r="O2" s="5"/>
      <c r="P2" s="5"/>
      <c r="Q2" s="5"/>
      <c r="R2" s="6"/>
      <c r="S2" s="6"/>
    </row>
    <row r="3" spans="1:19" s="25" customFormat="1" ht="37.5" customHeight="1">
      <c r="A3" s="362"/>
      <c r="B3" s="362"/>
      <c r="C3" s="177" t="s">
        <v>55</v>
      </c>
      <c r="D3" s="188" t="s">
        <v>56</v>
      </c>
      <c r="E3" s="362"/>
      <c r="F3" s="177">
        <v>1395</v>
      </c>
      <c r="G3" s="177">
        <v>1396</v>
      </c>
      <c r="H3" s="177">
        <v>1397</v>
      </c>
      <c r="I3" s="177">
        <v>1398</v>
      </c>
      <c r="J3" s="177">
        <v>1399</v>
      </c>
      <c r="K3" s="338">
        <v>1400</v>
      </c>
      <c r="L3" s="177">
        <v>1401</v>
      </c>
      <c r="M3" s="5"/>
      <c r="N3" s="5"/>
      <c r="O3" s="5"/>
      <c r="P3" s="5"/>
      <c r="Q3" s="5"/>
      <c r="R3" s="6"/>
      <c r="S3" s="6"/>
    </row>
    <row r="4" spans="1:19" s="26" customFormat="1" ht="39.950000000000003" customHeight="1">
      <c r="A4" s="353">
        <v>1</v>
      </c>
      <c r="B4" s="366" t="s">
        <v>57</v>
      </c>
      <c r="C4" s="201" t="s">
        <v>58</v>
      </c>
      <c r="D4" s="198" t="s">
        <v>91</v>
      </c>
      <c r="E4" s="191">
        <v>135785.84952500003</v>
      </c>
      <c r="F4" s="192">
        <v>149703.89910131248</v>
      </c>
      <c r="G4" s="192">
        <v>157189.09405637815</v>
      </c>
      <c r="H4" s="192">
        <v>165048.54875919703</v>
      </c>
      <c r="I4" s="192">
        <v>173300.97619715688</v>
      </c>
      <c r="J4" s="192">
        <v>181966.02500701474</v>
      </c>
      <c r="K4" s="192">
        <v>191064.32625736549</v>
      </c>
      <c r="L4" s="199">
        <v>200617.54257023378</v>
      </c>
      <c r="M4" s="9"/>
      <c r="N4" s="9"/>
      <c r="O4" s="9"/>
      <c r="P4" s="9"/>
      <c r="Q4" s="9"/>
      <c r="R4" s="10"/>
      <c r="S4" s="11"/>
    </row>
    <row r="5" spans="1:19" s="26" customFormat="1" ht="67.5" customHeight="1">
      <c r="A5" s="353"/>
      <c r="B5" s="366"/>
      <c r="C5" s="201" t="s">
        <v>60</v>
      </c>
      <c r="D5" s="198" t="s">
        <v>92</v>
      </c>
      <c r="E5" s="191">
        <v>173388.73999999996</v>
      </c>
      <c r="F5" s="191">
        <v>191161.08585</v>
      </c>
      <c r="G5" s="191">
        <v>200719.14014250008</v>
      </c>
      <c r="H5" s="191">
        <v>210755.09714962507</v>
      </c>
      <c r="I5" s="191">
        <v>221292.8520071063</v>
      </c>
      <c r="J5" s="191">
        <v>232357.49460746165</v>
      </c>
      <c r="K5" s="191">
        <v>243975.3693378348</v>
      </c>
      <c r="L5" s="199">
        <v>256174.1378047266</v>
      </c>
      <c r="M5" s="9"/>
      <c r="N5" s="9"/>
      <c r="O5" s="9"/>
      <c r="P5" s="9"/>
      <c r="Q5" s="9"/>
      <c r="R5" s="10"/>
      <c r="S5" s="11"/>
    </row>
    <row r="6" spans="1:19" s="26" customFormat="1" ht="62.25" customHeight="1">
      <c r="A6" s="353"/>
      <c r="B6" s="366"/>
      <c r="C6" s="201" t="s">
        <v>63</v>
      </c>
      <c r="D6" s="198" t="s">
        <v>92</v>
      </c>
      <c r="E6" s="191">
        <v>75340.994000000006</v>
      </c>
      <c r="F6" s="192">
        <v>83063.445885000023</v>
      </c>
      <c r="G6" s="192">
        <v>87216.618179250028</v>
      </c>
      <c r="H6" s="192">
        <v>91577.449088212525</v>
      </c>
      <c r="I6" s="192">
        <v>96156.321542623162</v>
      </c>
      <c r="J6" s="192">
        <v>100964.13761975431</v>
      </c>
      <c r="K6" s="192">
        <v>106012.34450074204</v>
      </c>
      <c r="L6" s="199">
        <v>111312.96172577914</v>
      </c>
      <c r="M6" s="9"/>
      <c r="N6" s="9"/>
      <c r="O6" s="9"/>
      <c r="P6" s="9"/>
      <c r="Q6" s="9"/>
      <c r="R6" s="10"/>
      <c r="S6" s="11"/>
    </row>
    <row r="7" spans="1:19" s="26" customFormat="1" ht="62.25" customHeight="1">
      <c r="A7" s="353"/>
      <c r="B7" s="366"/>
      <c r="C7" s="201" t="s">
        <v>64</v>
      </c>
      <c r="D7" s="198" t="s">
        <v>92</v>
      </c>
      <c r="E7" s="191">
        <v>13225</v>
      </c>
      <c r="F7" s="192">
        <v>14580.562500000004</v>
      </c>
      <c r="G7" s="192">
        <v>15309.590624999999</v>
      </c>
      <c r="H7" s="192">
        <v>16075.07015625</v>
      </c>
      <c r="I7" s="192">
        <v>16878.823664062504</v>
      </c>
      <c r="J7" s="192">
        <v>17722.764847265622</v>
      </c>
      <c r="K7" s="192">
        <v>18608.903089628897</v>
      </c>
      <c r="L7" s="199">
        <v>19539.348244110333</v>
      </c>
      <c r="M7" s="9"/>
      <c r="N7" s="9"/>
      <c r="O7" s="9"/>
      <c r="P7" s="9"/>
      <c r="Q7" s="9"/>
      <c r="R7" s="10"/>
      <c r="S7" s="11"/>
    </row>
    <row r="8" spans="1:19" s="26" customFormat="1" ht="50.1" customHeight="1">
      <c r="A8" s="353"/>
      <c r="B8" s="366"/>
      <c r="C8" s="201" t="s">
        <v>65</v>
      </c>
      <c r="D8" s="198" t="s">
        <v>91</v>
      </c>
      <c r="E8" s="191">
        <v>261033.68154737493</v>
      </c>
      <c r="F8" s="191">
        <v>287789.63390598079</v>
      </c>
      <c r="G8" s="191">
        <v>302179.11560128001</v>
      </c>
      <c r="H8" s="191">
        <v>317288.07138134405</v>
      </c>
      <c r="I8" s="191">
        <v>333152.47495041118</v>
      </c>
      <c r="J8" s="191">
        <v>349810.09869793174</v>
      </c>
      <c r="K8" s="191">
        <v>367300.60363282834</v>
      </c>
      <c r="L8" s="199">
        <v>385665.63381446979</v>
      </c>
      <c r="M8" s="9"/>
      <c r="N8" s="9"/>
      <c r="O8" s="9"/>
      <c r="P8" s="9"/>
      <c r="Q8" s="9"/>
      <c r="R8" s="10"/>
      <c r="S8" s="11"/>
    </row>
    <row r="9" spans="1:19" s="26" customFormat="1" ht="39.950000000000003" customHeight="1">
      <c r="A9" s="353"/>
      <c r="B9" s="366"/>
      <c r="C9" s="201" t="s">
        <v>66</v>
      </c>
      <c r="D9" s="198" t="s">
        <v>67</v>
      </c>
      <c r="E9" s="193">
        <v>30</v>
      </c>
      <c r="F9" s="190">
        <v>36.498270000000005</v>
      </c>
      <c r="G9" s="190">
        <v>40.257591810000008</v>
      </c>
      <c r="H9" s="190">
        <v>44.404123766430011</v>
      </c>
      <c r="I9" s="190">
        <v>48.977748514372301</v>
      </c>
      <c r="J9" s="190">
        <v>54.022456611352652</v>
      </c>
      <c r="K9" s="190">
        <v>59.586769642321975</v>
      </c>
      <c r="L9" s="199">
        <v>65.724206915481133</v>
      </c>
      <c r="M9" s="9"/>
      <c r="N9" s="9"/>
      <c r="O9" s="9"/>
      <c r="P9" s="9"/>
      <c r="Q9" s="9"/>
      <c r="R9" s="10"/>
      <c r="S9" s="11"/>
    </row>
    <row r="10" spans="1:19" s="26" customFormat="1" ht="134.25" customHeight="1">
      <c r="A10" s="353">
        <v>2</v>
      </c>
      <c r="B10" s="366" t="s">
        <v>68</v>
      </c>
      <c r="C10" s="201" t="s">
        <v>69</v>
      </c>
      <c r="D10" s="198" t="s">
        <v>70</v>
      </c>
      <c r="E10" s="191">
        <v>20004.400000000001</v>
      </c>
      <c r="F10" s="191">
        <v>22054.850999999999</v>
      </c>
      <c r="G10" s="191">
        <v>23157.593550000001</v>
      </c>
      <c r="H10" s="191">
        <v>24315.47322750001</v>
      </c>
      <c r="I10" s="191">
        <v>25531.246888875001</v>
      </c>
      <c r="J10" s="191">
        <v>26807.80923331876</v>
      </c>
      <c r="K10" s="191">
        <v>28148.199694984705</v>
      </c>
      <c r="L10" s="199">
        <v>29555.609679733949</v>
      </c>
      <c r="M10" s="9"/>
      <c r="N10" s="9"/>
      <c r="O10" s="9"/>
      <c r="P10" s="9"/>
      <c r="Q10" s="9"/>
      <c r="R10" s="10"/>
      <c r="S10" s="11"/>
    </row>
    <row r="11" spans="1:19" s="26" customFormat="1" ht="50.1" customHeight="1">
      <c r="A11" s="353"/>
      <c r="B11" s="366"/>
      <c r="C11" s="201" t="s">
        <v>93</v>
      </c>
      <c r="D11" s="198" t="s">
        <v>72</v>
      </c>
      <c r="E11" s="191">
        <v>1157</v>
      </c>
      <c r="F11" s="192">
        <f>E11*1.103</f>
        <v>1276.171</v>
      </c>
      <c r="G11" s="192">
        <f>F11*1.05</f>
        <v>1339.97955</v>
      </c>
      <c r="H11" s="192">
        <f t="shared" ref="H11" si="0">G11*1.05</f>
        <v>1406.9785275000002</v>
      </c>
      <c r="I11" s="192">
        <v>0</v>
      </c>
      <c r="J11" s="192">
        <v>0</v>
      </c>
      <c r="K11" s="192">
        <v>0</v>
      </c>
      <c r="L11" s="199">
        <v>0</v>
      </c>
      <c r="M11" s="9"/>
      <c r="N11" s="9"/>
      <c r="O11" s="9"/>
      <c r="P11" s="9"/>
      <c r="Q11" s="9"/>
      <c r="R11" s="10"/>
      <c r="S11" s="11"/>
    </row>
    <row r="12" spans="1:19" s="26" customFormat="1" ht="42.95" customHeight="1">
      <c r="A12" s="353"/>
      <c r="B12" s="366"/>
      <c r="C12" s="371" t="s">
        <v>94</v>
      </c>
      <c r="D12" s="198" t="s">
        <v>74</v>
      </c>
      <c r="E12" s="191">
        <v>2268.055615625</v>
      </c>
      <c r="F12" s="192">
        <v>2500.5313162265625</v>
      </c>
      <c r="G12" s="192">
        <v>2625.5578820378914</v>
      </c>
      <c r="H12" s="192">
        <v>2756.8357761397851</v>
      </c>
      <c r="I12" s="192">
        <v>2894.6775649467754</v>
      </c>
      <c r="J12" s="192">
        <v>3039.4114431941143</v>
      </c>
      <c r="K12" s="192">
        <v>3191.38201535382</v>
      </c>
      <c r="L12" s="199">
        <v>3350.9511161215109</v>
      </c>
      <c r="M12" s="9"/>
      <c r="N12" s="9"/>
      <c r="O12" s="9"/>
      <c r="P12" s="9"/>
      <c r="Q12" s="9"/>
      <c r="R12" s="10"/>
      <c r="S12" s="11"/>
    </row>
    <row r="13" spans="1:19" s="26" customFormat="1" ht="42.95" customHeight="1">
      <c r="A13" s="353"/>
      <c r="B13" s="366"/>
      <c r="C13" s="371"/>
      <c r="D13" s="198" t="s">
        <v>2</v>
      </c>
      <c r="E13" s="191">
        <v>3</v>
      </c>
      <c r="F13" s="192">
        <v>3</v>
      </c>
      <c r="G13" s="192">
        <v>4</v>
      </c>
      <c r="H13" s="192">
        <v>4</v>
      </c>
      <c r="I13" s="192">
        <v>5</v>
      </c>
      <c r="J13" s="192">
        <v>5</v>
      </c>
      <c r="K13" s="192">
        <v>5</v>
      </c>
      <c r="L13" s="199">
        <v>5</v>
      </c>
      <c r="M13" s="9"/>
      <c r="N13" s="9"/>
      <c r="O13" s="9"/>
      <c r="P13" s="9"/>
      <c r="Q13" s="9"/>
      <c r="R13" s="10"/>
      <c r="S13" s="11"/>
    </row>
    <row r="14" spans="1:19" s="26" customFormat="1" ht="42.95" customHeight="1">
      <c r="A14" s="353"/>
      <c r="B14" s="366"/>
      <c r="C14" s="371"/>
      <c r="D14" s="198" t="s">
        <v>75</v>
      </c>
      <c r="E14" s="191">
        <v>25</v>
      </c>
      <c r="F14" s="192">
        <v>35</v>
      </c>
      <c r="G14" s="192">
        <v>45.5</v>
      </c>
      <c r="H14" s="192">
        <v>59.15</v>
      </c>
      <c r="I14" s="192">
        <v>76.894999999999996</v>
      </c>
      <c r="J14" s="192">
        <v>99.963499999999996</v>
      </c>
      <c r="K14" s="192">
        <v>100</v>
      </c>
      <c r="L14" s="199">
        <v>100.0365133273645</v>
      </c>
      <c r="M14" s="9"/>
      <c r="N14" s="9"/>
      <c r="O14" s="9"/>
      <c r="P14" s="9"/>
      <c r="Q14" s="9"/>
      <c r="R14" s="10"/>
      <c r="S14" s="11"/>
    </row>
    <row r="15" spans="1:19" s="26" customFormat="1" ht="39.950000000000003" customHeight="1">
      <c r="A15" s="353"/>
      <c r="B15" s="366"/>
      <c r="C15" s="201" t="s">
        <v>76</v>
      </c>
      <c r="D15" s="198" t="s">
        <v>77</v>
      </c>
      <c r="E15" s="191">
        <v>3206.1371039999981</v>
      </c>
      <c r="F15" s="192">
        <v>3534.7661571599992</v>
      </c>
      <c r="G15" s="192">
        <v>3711.5044650179993</v>
      </c>
      <c r="H15" s="192">
        <v>3897.0796882688987</v>
      </c>
      <c r="I15" s="192">
        <v>4091.9336726823449</v>
      </c>
      <c r="J15" s="192">
        <v>4296.5303563164625</v>
      </c>
      <c r="K15" s="192">
        <v>4511.3568741322861</v>
      </c>
      <c r="L15" s="199">
        <v>4736.9247178389005</v>
      </c>
      <c r="M15" s="9"/>
      <c r="N15" s="9"/>
      <c r="O15" s="9"/>
      <c r="P15" s="9"/>
      <c r="Q15" s="9"/>
      <c r="R15" s="10"/>
      <c r="S15" s="11"/>
    </row>
    <row r="16" spans="1:19" s="26" customFormat="1" ht="39.950000000000003" customHeight="1">
      <c r="A16" s="353">
        <v>3</v>
      </c>
      <c r="B16" s="366" t="s">
        <v>8</v>
      </c>
      <c r="C16" s="201" t="s">
        <v>78</v>
      </c>
      <c r="D16" s="198" t="s">
        <v>95</v>
      </c>
      <c r="E16" s="191">
        <v>428245.09845333337</v>
      </c>
      <c r="F16" s="192">
        <v>472140.22104480024</v>
      </c>
      <c r="G16" s="192">
        <v>495747.23209704011</v>
      </c>
      <c r="H16" s="192">
        <v>520534.59370189212</v>
      </c>
      <c r="I16" s="192">
        <v>546561.32338698674</v>
      </c>
      <c r="J16" s="192">
        <v>573889.3895563361</v>
      </c>
      <c r="K16" s="192">
        <v>602583.85903415293</v>
      </c>
      <c r="L16" s="199">
        <v>632713.05198586057</v>
      </c>
      <c r="M16" s="9"/>
      <c r="N16" s="9"/>
      <c r="O16" s="9"/>
      <c r="P16" s="9"/>
      <c r="Q16" s="9"/>
      <c r="R16" s="10"/>
      <c r="S16" s="11"/>
    </row>
    <row r="17" spans="1:19" s="26" customFormat="1" ht="39.950000000000003" customHeight="1">
      <c r="A17" s="353"/>
      <c r="B17" s="366"/>
      <c r="C17" s="201" t="s">
        <v>79</v>
      </c>
      <c r="D17" s="198" t="s">
        <v>80</v>
      </c>
      <c r="E17" s="191">
        <v>386.74999999999989</v>
      </c>
      <c r="F17" s="192">
        <v>426.39187500000008</v>
      </c>
      <c r="G17" s="192">
        <v>447.71146874999994</v>
      </c>
      <c r="H17" s="192">
        <v>470.09704218749999</v>
      </c>
      <c r="I17" s="192">
        <v>493.60189429687512</v>
      </c>
      <c r="J17" s="192">
        <v>518.28198901171879</v>
      </c>
      <c r="K17" s="192">
        <v>544.1960884623046</v>
      </c>
      <c r="L17" s="199">
        <v>571.40589288541969</v>
      </c>
      <c r="M17" s="9"/>
      <c r="N17" s="9"/>
      <c r="O17" s="9"/>
      <c r="P17" s="9"/>
      <c r="Q17" s="9"/>
      <c r="R17" s="10"/>
      <c r="S17" s="11"/>
    </row>
    <row r="18" spans="1:19" s="26" customFormat="1" ht="39.950000000000003" customHeight="1">
      <c r="A18" s="353"/>
      <c r="B18" s="366"/>
      <c r="C18" s="201" t="s">
        <v>81</v>
      </c>
      <c r="D18" s="198" t="s">
        <v>96</v>
      </c>
      <c r="E18" s="191">
        <v>24280.670239999992</v>
      </c>
      <c r="F18" s="192">
        <v>26769.438939599997</v>
      </c>
      <c r="G18" s="192">
        <v>28107.91088657999</v>
      </c>
      <c r="H18" s="192">
        <v>29513.306430909004</v>
      </c>
      <c r="I18" s="192">
        <v>30988.971752454454</v>
      </c>
      <c r="J18" s="192">
        <v>32538.420340077173</v>
      </c>
      <c r="K18" s="192">
        <v>34165.341357081023</v>
      </c>
      <c r="L18" s="199">
        <v>35873.608424935068</v>
      </c>
      <c r="M18" s="9"/>
      <c r="N18" s="9"/>
      <c r="O18" s="9"/>
      <c r="P18" s="9"/>
      <c r="Q18" s="9"/>
      <c r="R18" s="10"/>
      <c r="S18" s="11"/>
    </row>
    <row r="19" spans="1:19" s="26" customFormat="1" ht="75" customHeight="1">
      <c r="A19" s="353">
        <v>4</v>
      </c>
      <c r="B19" s="366" t="s">
        <v>9</v>
      </c>
      <c r="C19" s="201" t="s">
        <v>82</v>
      </c>
      <c r="D19" s="198" t="s">
        <v>97</v>
      </c>
      <c r="E19" s="191">
        <v>1662516.6666666672</v>
      </c>
      <c r="F19" s="192">
        <v>1832924.6250000007</v>
      </c>
      <c r="G19" s="192">
        <v>1924570.8562500004</v>
      </c>
      <c r="H19" s="192">
        <v>2020799.3990625008</v>
      </c>
      <c r="I19" s="192">
        <v>2121839.3690156261</v>
      </c>
      <c r="J19" s="192">
        <v>2227931.3374664076</v>
      </c>
      <c r="K19" s="192">
        <v>2339327.9043397279</v>
      </c>
      <c r="L19" s="199">
        <v>2456294.2995567145</v>
      </c>
      <c r="M19" s="9"/>
      <c r="N19" s="9"/>
      <c r="O19" s="9"/>
      <c r="P19" s="9"/>
      <c r="Q19" s="9"/>
      <c r="R19" s="10"/>
      <c r="S19" s="11"/>
    </row>
    <row r="20" spans="1:19" s="26" customFormat="1" ht="39.950000000000003" customHeight="1">
      <c r="A20" s="353"/>
      <c r="B20" s="366"/>
      <c r="C20" s="371" t="s">
        <v>98</v>
      </c>
      <c r="D20" s="200" t="s">
        <v>99</v>
      </c>
      <c r="E20" s="191">
        <v>49401.080666666669</v>
      </c>
      <c r="F20" s="192">
        <v>54464.691434999993</v>
      </c>
      <c r="G20" s="192">
        <v>57187.92600675</v>
      </c>
      <c r="H20" s="192">
        <v>60047.322307087503</v>
      </c>
      <c r="I20" s="192">
        <v>63049.688422441883</v>
      </c>
      <c r="J20" s="192">
        <v>66202.172843563967</v>
      </c>
      <c r="K20" s="192">
        <v>69512.281485742147</v>
      </c>
      <c r="L20" s="199">
        <v>72987.895560029239</v>
      </c>
      <c r="M20" s="9"/>
      <c r="N20" s="9"/>
      <c r="O20" s="9"/>
      <c r="P20" s="9"/>
      <c r="Q20" s="9"/>
      <c r="R20" s="10"/>
      <c r="S20" s="11"/>
    </row>
    <row r="21" spans="1:19" s="26" customFormat="1" ht="39.950000000000003" customHeight="1">
      <c r="A21" s="353"/>
      <c r="B21" s="366"/>
      <c r="C21" s="371"/>
      <c r="D21" s="200" t="s">
        <v>86</v>
      </c>
      <c r="E21" s="191">
        <v>0</v>
      </c>
      <c r="F21" s="192">
        <v>0</v>
      </c>
      <c r="G21" s="192">
        <v>100</v>
      </c>
      <c r="H21" s="192">
        <f>G21+(G21*71%)</f>
        <v>171</v>
      </c>
      <c r="I21" s="192">
        <f t="shared" ref="I21:J21" si="1">H21+(H21*71%)</f>
        <v>292.40999999999997</v>
      </c>
      <c r="J21" s="192">
        <f t="shared" si="1"/>
        <v>500.02109999999993</v>
      </c>
      <c r="K21" s="192">
        <v>500</v>
      </c>
      <c r="L21" s="199">
        <v>499.97890089038248</v>
      </c>
      <c r="M21" s="9"/>
      <c r="N21" s="9"/>
      <c r="O21" s="9"/>
      <c r="P21" s="9"/>
      <c r="Q21" s="9"/>
      <c r="R21" s="10"/>
      <c r="S21" s="11"/>
    </row>
    <row r="22" spans="1:19" s="26" customFormat="1" ht="68.25" customHeight="1">
      <c r="A22" s="353"/>
      <c r="B22" s="366"/>
      <c r="C22" s="201" t="s">
        <v>87</v>
      </c>
      <c r="D22" s="198" t="s">
        <v>100</v>
      </c>
      <c r="E22" s="191">
        <v>6798.1133493975904</v>
      </c>
      <c r="F22" s="192">
        <v>7494.9199677108463</v>
      </c>
      <c r="G22" s="192">
        <v>7869.6659660963878</v>
      </c>
      <c r="H22" s="192">
        <v>8263.1492644012087</v>
      </c>
      <c r="I22" s="192">
        <v>8676.3067276212696</v>
      </c>
      <c r="J22" s="192">
        <v>9110.122064002333</v>
      </c>
      <c r="K22" s="192">
        <v>9565.6281672024506</v>
      </c>
      <c r="L22" s="199">
        <v>10043.909575562573</v>
      </c>
      <c r="M22" s="9"/>
      <c r="N22" s="9"/>
      <c r="O22" s="9"/>
      <c r="P22" s="9"/>
      <c r="Q22" s="9"/>
      <c r="R22" s="10"/>
      <c r="S22" s="11"/>
    </row>
    <row r="23" spans="1:19" ht="39.950000000000003" customHeight="1">
      <c r="A23" s="368"/>
      <c r="B23" s="369"/>
      <c r="C23" s="369"/>
      <c r="D23" s="369"/>
      <c r="E23" s="369"/>
      <c r="F23" s="369"/>
      <c r="G23" s="369"/>
      <c r="H23" s="369"/>
      <c r="I23" s="369"/>
      <c r="J23" s="369"/>
      <c r="K23" s="369"/>
      <c r="L23" s="370"/>
    </row>
    <row r="25" spans="1:19">
      <c r="F25" s="24"/>
    </row>
    <row r="26" spans="1:19">
      <c r="F26" s="24"/>
    </row>
    <row r="27" spans="1:19">
      <c r="F27" s="24"/>
    </row>
    <row r="28" spans="1:19">
      <c r="F28" s="24"/>
    </row>
    <row r="29" spans="1:19">
      <c r="F29" s="24"/>
    </row>
    <row r="30" spans="1:19">
      <c r="F30" s="24"/>
    </row>
    <row r="31" spans="1:19">
      <c r="F31" s="24"/>
    </row>
    <row r="32" spans="1:19">
      <c r="F32" s="24"/>
    </row>
    <row r="33" spans="6:6">
      <c r="F33" s="24"/>
    </row>
    <row r="34" spans="6:6">
      <c r="F34" s="24"/>
    </row>
    <row r="35" spans="6:6">
      <c r="F35" s="24"/>
    </row>
    <row r="36" spans="6:6">
      <c r="F36" s="24"/>
    </row>
    <row r="37" spans="6:6">
      <c r="F37" s="24"/>
    </row>
    <row r="38" spans="6:6">
      <c r="F38" s="24"/>
    </row>
    <row r="39" spans="6:6">
      <c r="F39" s="24"/>
    </row>
    <row r="40" spans="6:6">
      <c r="F40" s="24"/>
    </row>
    <row r="41" spans="6:6">
      <c r="F41" s="24"/>
    </row>
    <row r="42" spans="6:6">
      <c r="F42" s="24"/>
    </row>
    <row r="43" spans="6:6">
      <c r="F43" s="24"/>
    </row>
    <row r="44" spans="6:6">
      <c r="F44" s="24"/>
    </row>
    <row r="45" spans="6:6">
      <c r="F45" s="24"/>
    </row>
    <row r="46" spans="6:6">
      <c r="F46" s="24"/>
    </row>
    <row r="47" spans="6:6">
      <c r="F47" s="24"/>
    </row>
    <row r="48" spans="6:6">
      <c r="F48" s="24"/>
    </row>
    <row r="49" spans="6:6">
      <c r="F49" s="24"/>
    </row>
    <row r="50" spans="6:6">
      <c r="F50" s="24"/>
    </row>
    <row r="51" spans="6:6">
      <c r="F51" s="24"/>
    </row>
    <row r="52" spans="6:6">
      <c r="F52" s="24"/>
    </row>
  </sheetData>
  <mergeCells count="17">
    <mergeCell ref="A1:L1"/>
    <mergeCell ref="F2:L2"/>
    <mergeCell ref="A23:L23"/>
    <mergeCell ref="A2:A3"/>
    <mergeCell ref="B2:B3"/>
    <mergeCell ref="C2:D2"/>
    <mergeCell ref="E2:E3"/>
    <mergeCell ref="A19:A22"/>
    <mergeCell ref="B19:B22"/>
    <mergeCell ref="C20:C21"/>
    <mergeCell ref="A4:A9"/>
    <mergeCell ref="B4:B9"/>
    <mergeCell ref="A10:A15"/>
    <mergeCell ref="B10:B15"/>
    <mergeCell ref="C12:C14"/>
    <mergeCell ref="A16:A18"/>
    <mergeCell ref="B16:B18"/>
  </mergeCells>
  <pageMargins left="0.16" right="0.25" top="0.34" bottom="0.17" header="0.31496062992125984" footer="0.22"/>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0"/>
  <sheetViews>
    <sheetView showGridLines="0" rightToLeft="1" workbookViewId="0">
      <pane xSplit="14" topLeftCell="O1" activePane="topRight" state="frozen"/>
      <selection activeCell="F12" sqref="F12"/>
      <selection pane="topRight" sqref="A1:N1"/>
    </sheetView>
  </sheetViews>
  <sheetFormatPr defaultColWidth="10.6640625" defaultRowHeight="35.1" customHeight="1"/>
  <cols>
    <col min="1" max="1" width="7.6640625" style="35" customWidth="1"/>
    <col min="2" max="2" width="27.5" style="35" customWidth="1"/>
    <col min="3" max="3" width="13.1640625" style="35" customWidth="1"/>
    <col min="4" max="4" width="13.1640625" style="52" customWidth="1"/>
    <col min="5" max="13" width="10.1640625" style="52" customWidth="1"/>
    <col min="14" max="14" width="10.6640625" style="53" customWidth="1"/>
    <col min="15" max="18" width="8.6640625" style="32" customWidth="1"/>
    <col min="19" max="19" width="8.6640625" style="33" customWidth="1"/>
    <col min="20" max="20" width="13.33203125" style="34" customWidth="1"/>
    <col min="21" max="21" width="10.6640625" style="33"/>
    <col min="22" max="16384" width="10.6640625" style="35"/>
  </cols>
  <sheetData>
    <row r="1" spans="1:21" ht="42" customHeight="1">
      <c r="A1" s="373" t="s">
        <v>101</v>
      </c>
      <c r="B1" s="373"/>
      <c r="C1" s="373"/>
      <c r="D1" s="373"/>
      <c r="E1" s="373"/>
      <c r="F1" s="373"/>
      <c r="G1" s="373"/>
      <c r="H1" s="373"/>
      <c r="I1" s="373"/>
      <c r="J1" s="373"/>
      <c r="K1" s="373"/>
      <c r="L1" s="373"/>
      <c r="M1" s="373"/>
      <c r="N1" s="373"/>
    </row>
    <row r="2" spans="1:21" s="38" customFormat="1" ht="25.5" customHeight="1">
      <c r="A2" s="374" t="s">
        <v>0</v>
      </c>
      <c r="B2" s="374" t="s">
        <v>11</v>
      </c>
      <c r="C2" s="374" t="s">
        <v>102</v>
      </c>
      <c r="D2" s="375" t="s">
        <v>103</v>
      </c>
      <c r="E2" s="375" t="s">
        <v>104</v>
      </c>
      <c r="F2" s="375"/>
      <c r="G2" s="375"/>
      <c r="H2" s="375"/>
      <c r="I2" s="375"/>
      <c r="J2" s="375" t="s">
        <v>105</v>
      </c>
      <c r="K2" s="375"/>
      <c r="L2" s="375"/>
      <c r="M2" s="375"/>
      <c r="N2" s="375"/>
      <c r="O2" s="32"/>
      <c r="P2" s="32"/>
      <c r="Q2" s="32"/>
      <c r="R2" s="32"/>
      <c r="S2" s="36"/>
      <c r="T2" s="37"/>
      <c r="U2" s="36"/>
    </row>
    <row r="3" spans="1:21" s="38" customFormat="1" ht="20.100000000000001" customHeight="1">
      <c r="A3" s="374"/>
      <c r="B3" s="374"/>
      <c r="C3" s="374"/>
      <c r="D3" s="375"/>
      <c r="E3" s="375" t="s">
        <v>106</v>
      </c>
      <c r="F3" s="375"/>
      <c r="G3" s="372">
        <v>1397</v>
      </c>
      <c r="H3" s="372">
        <v>1398</v>
      </c>
      <c r="I3" s="372">
        <v>1399</v>
      </c>
      <c r="J3" s="372">
        <v>1400</v>
      </c>
      <c r="K3" s="372">
        <v>1401</v>
      </c>
      <c r="L3" s="372">
        <v>1402</v>
      </c>
      <c r="M3" s="372">
        <v>1403</v>
      </c>
      <c r="N3" s="372">
        <v>1404</v>
      </c>
      <c r="O3" s="32"/>
      <c r="P3" s="32"/>
      <c r="Q3" s="32"/>
      <c r="R3" s="32"/>
      <c r="S3" s="36"/>
      <c r="T3" s="37"/>
      <c r="U3" s="36"/>
    </row>
    <row r="4" spans="1:21" s="43" customFormat="1" ht="22.5" customHeight="1">
      <c r="A4" s="374"/>
      <c r="B4" s="374"/>
      <c r="C4" s="374"/>
      <c r="D4" s="375"/>
      <c r="E4" s="203">
        <v>1395</v>
      </c>
      <c r="F4" s="203">
        <v>1396</v>
      </c>
      <c r="G4" s="372"/>
      <c r="H4" s="372"/>
      <c r="I4" s="372"/>
      <c r="J4" s="372"/>
      <c r="K4" s="372"/>
      <c r="L4" s="372"/>
      <c r="M4" s="372"/>
      <c r="N4" s="372"/>
      <c r="O4" s="39"/>
      <c r="P4" s="39"/>
      <c r="Q4" s="40"/>
      <c r="R4" s="39"/>
      <c r="S4" s="41"/>
      <c r="T4" s="42"/>
      <c r="U4" s="41"/>
    </row>
    <row r="5" spans="1:21" s="43" customFormat="1" ht="30" customHeight="1">
      <c r="A5" s="204">
        <v>1</v>
      </c>
      <c r="B5" s="205" t="s">
        <v>14</v>
      </c>
      <c r="C5" s="206">
        <v>7931.7444202931647</v>
      </c>
      <c r="D5" s="207">
        <v>8328.3316413078228</v>
      </c>
      <c r="E5" s="207">
        <v>8744.7482233732135</v>
      </c>
      <c r="F5" s="207">
        <v>9181.9856345418739</v>
      </c>
      <c r="G5" s="207">
        <v>9641.0849162689683</v>
      </c>
      <c r="H5" s="207">
        <v>10123.139162082418</v>
      </c>
      <c r="I5" s="207">
        <v>10629.29612018654</v>
      </c>
      <c r="J5" s="207">
        <v>11160.760926195868</v>
      </c>
      <c r="K5" s="207">
        <v>11718.798972505661</v>
      </c>
      <c r="L5" s="207">
        <v>12304.738921130946</v>
      </c>
      <c r="M5" s="207">
        <v>12919.975867187493</v>
      </c>
      <c r="N5" s="207">
        <v>13565.974660546868</v>
      </c>
      <c r="O5" s="39"/>
      <c r="P5" s="39"/>
      <c r="Q5" s="40"/>
      <c r="R5" s="40"/>
      <c r="S5" s="40"/>
      <c r="T5" s="42"/>
      <c r="U5" s="41"/>
    </row>
    <row r="6" spans="1:21" s="43" customFormat="1" ht="30" customHeight="1">
      <c r="A6" s="204">
        <v>2</v>
      </c>
      <c r="B6" s="205" t="s">
        <v>15</v>
      </c>
      <c r="C6" s="206">
        <v>5596.824823394275</v>
      </c>
      <c r="D6" s="207">
        <v>5876.6660645639886</v>
      </c>
      <c r="E6" s="207">
        <v>6170.4993677921884</v>
      </c>
      <c r="F6" s="207">
        <v>6479.0243361817984</v>
      </c>
      <c r="G6" s="207">
        <v>6802.9755529908889</v>
      </c>
      <c r="H6" s="207">
        <v>7143.124330640434</v>
      </c>
      <c r="I6" s="207">
        <v>7500.280547172456</v>
      </c>
      <c r="J6" s="207">
        <v>7875.294574531079</v>
      </c>
      <c r="K6" s="207">
        <v>8269.0593032576326</v>
      </c>
      <c r="L6" s="207">
        <v>8682.5122684205144</v>
      </c>
      <c r="M6" s="207">
        <v>9116.6378818415396</v>
      </c>
      <c r="N6" s="207">
        <v>9572.4697759336177</v>
      </c>
      <c r="O6" s="39"/>
      <c r="P6" s="39"/>
      <c r="Q6" s="40"/>
      <c r="R6" s="40"/>
      <c r="S6" s="40"/>
      <c r="T6" s="42"/>
      <c r="U6" s="41"/>
    </row>
    <row r="7" spans="1:21" s="43" customFormat="1" ht="30" customHeight="1">
      <c r="A7" s="204">
        <v>3</v>
      </c>
      <c r="B7" s="205" t="s">
        <v>16</v>
      </c>
      <c r="C7" s="206">
        <v>5068.9420763841936</v>
      </c>
      <c r="D7" s="207">
        <v>5322.3891802034032</v>
      </c>
      <c r="E7" s="207">
        <v>5588.5086392135736</v>
      </c>
      <c r="F7" s="207">
        <v>5867.9340711742525</v>
      </c>
      <c r="G7" s="207">
        <v>6161.3307747329654</v>
      </c>
      <c r="H7" s="207">
        <v>6469.3973134696143</v>
      </c>
      <c r="I7" s="207">
        <v>6792.8671791430952</v>
      </c>
      <c r="J7" s="207">
        <v>7132.5105381002504</v>
      </c>
      <c r="K7" s="207">
        <v>7489.1360650052629</v>
      </c>
      <c r="L7" s="207">
        <v>7863.5928682555268</v>
      </c>
      <c r="M7" s="207">
        <v>8256.7725116683032</v>
      </c>
      <c r="N7" s="207">
        <v>8669.6111372517189</v>
      </c>
      <c r="O7" s="39"/>
      <c r="P7" s="39"/>
      <c r="Q7" s="40"/>
      <c r="R7" s="40"/>
      <c r="S7" s="40"/>
      <c r="T7" s="42"/>
      <c r="U7" s="41"/>
    </row>
    <row r="8" spans="1:21" s="43" customFormat="1" ht="30" customHeight="1">
      <c r="A8" s="204">
        <v>4</v>
      </c>
      <c r="B8" s="205" t="s">
        <v>17</v>
      </c>
      <c r="C8" s="206">
        <v>10304.115647488654</v>
      </c>
      <c r="D8" s="207">
        <v>10819.321429863086</v>
      </c>
      <c r="E8" s="207">
        <v>11360.287501356241</v>
      </c>
      <c r="F8" s="207">
        <v>11928.301876424053</v>
      </c>
      <c r="G8" s="207">
        <v>12524.716970245256</v>
      </c>
      <c r="H8" s="207">
        <v>13150.95281875752</v>
      </c>
      <c r="I8" s="207">
        <v>13808.500459695397</v>
      </c>
      <c r="J8" s="207">
        <v>14498.925482680168</v>
      </c>
      <c r="K8" s="207">
        <v>15223.871756814176</v>
      </c>
      <c r="L8" s="207">
        <v>15985.065344654886</v>
      </c>
      <c r="M8" s="207">
        <v>16784.318611887629</v>
      </c>
      <c r="N8" s="207">
        <v>17623.534542482012</v>
      </c>
      <c r="O8" s="39"/>
      <c r="P8" s="39"/>
      <c r="Q8" s="40"/>
      <c r="R8" s="40"/>
      <c r="S8" s="40"/>
      <c r="T8" s="42"/>
      <c r="U8" s="41"/>
    </row>
    <row r="9" spans="1:21" s="43" customFormat="1" ht="30" customHeight="1">
      <c r="A9" s="204">
        <v>5</v>
      </c>
      <c r="B9" s="205" t="s">
        <v>18</v>
      </c>
      <c r="C9" s="206">
        <v>4126.5809950846942</v>
      </c>
      <c r="D9" s="207">
        <v>4332.910044838929</v>
      </c>
      <c r="E9" s="207">
        <v>4549.5555470808758</v>
      </c>
      <c r="F9" s="207">
        <v>4777.0333244349195</v>
      </c>
      <c r="G9" s="207">
        <v>5015.8849906566657</v>
      </c>
      <c r="H9" s="207">
        <v>5266.6792401894991</v>
      </c>
      <c r="I9" s="207">
        <v>5530.0132021989739</v>
      </c>
      <c r="J9" s="207">
        <v>5806.5138623089224</v>
      </c>
      <c r="K9" s="207">
        <v>6096.8395554243689</v>
      </c>
      <c r="L9" s="207">
        <v>6401.6815331955877</v>
      </c>
      <c r="M9" s="207">
        <v>6721.7656098553671</v>
      </c>
      <c r="N9" s="207">
        <v>7057.8538903481358</v>
      </c>
      <c r="O9" s="39"/>
      <c r="P9" s="39"/>
      <c r="Q9" s="40"/>
      <c r="R9" s="40"/>
      <c r="S9" s="40"/>
      <c r="T9" s="42"/>
      <c r="U9" s="41"/>
    </row>
    <row r="10" spans="1:21" s="43" customFormat="1" ht="30" customHeight="1">
      <c r="A10" s="204">
        <v>6</v>
      </c>
      <c r="B10" s="205" t="s">
        <v>19</v>
      </c>
      <c r="C10" s="206">
        <v>2129.9765282543353</v>
      </c>
      <c r="D10" s="207">
        <v>2236.4753546670522</v>
      </c>
      <c r="E10" s="207">
        <v>2348.2991224004049</v>
      </c>
      <c r="F10" s="207">
        <v>2465.7140785204251</v>
      </c>
      <c r="G10" s="207">
        <v>2588.9997824464463</v>
      </c>
      <c r="H10" s="207">
        <v>2718.4497715687685</v>
      </c>
      <c r="I10" s="207">
        <v>2854.3722601472068</v>
      </c>
      <c r="J10" s="207">
        <v>2997.0908731545674</v>
      </c>
      <c r="K10" s="207">
        <v>3146.9454168122957</v>
      </c>
      <c r="L10" s="207">
        <v>3304.2926876529104</v>
      </c>
      <c r="M10" s="207">
        <v>3469.5073220355562</v>
      </c>
      <c r="N10" s="207">
        <v>3642.9826881373342</v>
      </c>
      <c r="O10" s="39"/>
      <c r="P10" s="39"/>
      <c r="Q10" s="40"/>
      <c r="R10" s="40"/>
      <c r="S10" s="40"/>
      <c r="T10" s="42"/>
      <c r="U10" s="41"/>
    </row>
    <row r="11" spans="1:21" s="43" customFormat="1" ht="30" customHeight="1">
      <c r="A11" s="204">
        <v>7</v>
      </c>
      <c r="B11" s="205" t="s">
        <v>20</v>
      </c>
      <c r="C11" s="206">
        <v>856.11142898178525</v>
      </c>
      <c r="D11" s="207">
        <v>898.91700043087451</v>
      </c>
      <c r="E11" s="207">
        <v>943.86285045241823</v>
      </c>
      <c r="F11" s="207">
        <v>991.0559929750392</v>
      </c>
      <c r="G11" s="207">
        <v>1040.6087926237913</v>
      </c>
      <c r="H11" s="207">
        <v>1092.6392322549809</v>
      </c>
      <c r="I11" s="207">
        <v>1147.2711938677301</v>
      </c>
      <c r="J11" s="207">
        <v>1204.6347535611167</v>
      </c>
      <c r="K11" s="207">
        <v>1264.8664912391725</v>
      </c>
      <c r="L11" s="207">
        <v>1328.1098158011312</v>
      </c>
      <c r="M11" s="207">
        <v>1394.5153065911877</v>
      </c>
      <c r="N11" s="207">
        <v>1464.2410719207471</v>
      </c>
      <c r="O11" s="39"/>
      <c r="P11" s="39"/>
      <c r="Q11" s="40"/>
      <c r="R11" s="40"/>
      <c r="S11" s="40"/>
      <c r="T11" s="42"/>
      <c r="U11" s="41"/>
    </row>
    <row r="12" spans="1:21" s="43" customFormat="1" ht="30" customHeight="1">
      <c r="A12" s="204">
        <v>8</v>
      </c>
      <c r="B12" s="205" t="s">
        <v>21</v>
      </c>
      <c r="C12" s="206">
        <v>14804.476469250456</v>
      </c>
      <c r="D12" s="207">
        <v>15544.70029271298</v>
      </c>
      <c r="E12" s="207">
        <v>16321.935307348629</v>
      </c>
      <c r="F12" s="207">
        <v>17138.032072716062</v>
      </c>
      <c r="G12" s="207">
        <v>17994.933676351866</v>
      </c>
      <c r="H12" s="207">
        <v>18894.680360169459</v>
      </c>
      <c r="I12" s="207">
        <v>19839.414378177931</v>
      </c>
      <c r="J12" s="207">
        <v>20831.38509708683</v>
      </c>
      <c r="K12" s="207">
        <v>21872.954351941171</v>
      </c>
      <c r="L12" s="207">
        <v>22966.602069538232</v>
      </c>
      <c r="M12" s="207">
        <v>24114.932173015146</v>
      </c>
      <c r="N12" s="207">
        <v>25320.678781665905</v>
      </c>
      <c r="O12" s="39"/>
      <c r="P12" s="39"/>
      <c r="Q12" s="40"/>
      <c r="R12" s="40"/>
      <c r="S12" s="40"/>
      <c r="T12" s="42"/>
      <c r="U12" s="41"/>
    </row>
    <row r="13" spans="1:21" s="43" customFormat="1" ht="30" customHeight="1">
      <c r="A13" s="204">
        <v>9</v>
      </c>
      <c r="B13" s="205" t="s">
        <v>22</v>
      </c>
      <c r="C13" s="206">
        <v>1451.7491321840205</v>
      </c>
      <c r="D13" s="207">
        <v>1524.3365887932216</v>
      </c>
      <c r="E13" s="207">
        <v>1600.5534182328827</v>
      </c>
      <c r="F13" s="207">
        <v>1680.5810891445269</v>
      </c>
      <c r="G13" s="207">
        <v>1764.6101436017534</v>
      </c>
      <c r="H13" s="207">
        <v>1852.8406507818411</v>
      </c>
      <c r="I13" s="207">
        <v>1945.4826833209331</v>
      </c>
      <c r="J13" s="207">
        <v>2042.7568174869798</v>
      </c>
      <c r="K13" s="207">
        <v>2144.8946583613288</v>
      </c>
      <c r="L13" s="207">
        <v>2252.1393912793951</v>
      </c>
      <c r="M13" s="207">
        <v>2364.746360843365</v>
      </c>
      <c r="N13" s="207">
        <v>2482.9836788855332</v>
      </c>
      <c r="O13" s="39"/>
      <c r="P13" s="39"/>
      <c r="Q13" s="40"/>
      <c r="R13" s="40"/>
      <c r="S13" s="40"/>
      <c r="T13" s="42"/>
      <c r="U13" s="41"/>
    </row>
    <row r="14" spans="1:21" s="43" customFormat="1" ht="30" customHeight="1">
      <c r="A14" s="204">
        <v>10</v>
      </c>
      <c r="B14" s="205" t="s">
        <v>23</v>
      </c>
      <c r="C14" s="206">
        <v>2975.3107392243173</v>
      </c>
      <c r="D14" s="207">
        <v>3124.0762761855335</v>
      </c>
      <c r="E14" s="207">
        <v>3280.2800899948102</v>
      </c>
      <c r="F14" s="207">
        <v>3444.2940944945508</v>
      </c>
      <c r="G14" s="207">
        <v>3616.5087992192784</v>
      </c>
      <c r="H14" s="207">
        <v>3797.3342391802425</v>
      </c>
      <c r="I14" s="207">
        <v>3987.2009511392548</v>
      </c>
      <c r="J14" s="207">
        <v>4186.5609986962181</v>
      </c>
      <c r="K14" s="207">
        <v>4395.8890486310293</v>
      </c>
      <c r="L14" s="207">
        <v>4615.6835010625809</v>
      </c>
      <c r="M14" s="207">
        <v>4846.4676761157098</v>
      </c>
      <c r="N14" s="207">
        <v>5088.7910599214956</v>
      </c>
      <c r="O14" s="39"/>
      <c r="P14" s="39"/>
      <c r="Q14" s="40"/>
      <c r="R14" s="40"/>
      <c r="S14" s="40"/>
      <c r="T14" s="42"/>
      <c r="U14" s="41"/>
    </row>
    <row r="15" spans="1:21" s="43" customFormat="1" ht="30" customHeight="1">
      <c r="A15" s="204">
        <v>11</v>
      </c>
      <c r="B15" s="205" t="s">
        <v>24</v>
      </c>
      <c r="C15" s="206">
        <v>1965.3792519970893</v>
      </c>
      <c r="D15" s="207">
        <v>2063.6482145969439</v>
      </c>
      <c r="E15" s="207">
        <v>2166.8306253267911</v>
      </c>
      <c r="F15" s="207">
        <v>2275.1721565931307</v>
      </c>
      <c r="G15" s="207">
        <v>2388.9307644227874</v>
      </c>
      <c r="H15" s="207">
        <v>2508.3773026439271</v>
      </c>
      <c r="I15" s="207">
        <v>2633.7961677761236</v>
      </c>
      <c r="J15" s="207">
        <v>2765.48597616493</v>
      </c>
      <c r="K15" s="207">
        <v>2903.7602749731768</v>
      </c>
      <c r="L15" s="207">
        <v>3048.948288721836</v>
      </c>
      <c r="M15" s="207">
        <v>3201.395703157928</v>
      </c>
      <c r="N15" s="207">
        <v>3361.4654883158246</v>
      </c>
      <c r="O15" s="39"/>
      <c r="P15" s="39"/>
      <c r="Q15" s="40"/>
      <c r="R15" s="40"/>
      <c r="S15" s="40"/>
      <c r="T15" s="42"/>
      <c r="U15" s="41"/>
    </row>
    <row r="16" spans="1:21" s="43" customFormat="1" ht="30" customHeight="1">
      <c r="A16" s="204">
        <v>12</v>
      </c>
      <c r="B16" s="205" t="s">
        <v>25</v>
      </c>
      <c r="C16" s="206">
        <v>11531.782813745896</v>
      </c>
      <c r="D16" s="207">
        <v>12108.371954433193</v>
      </c>
      <c r="E16" s="207">
        <v>12713.790552154853</v>
      </c>
      <c r="F16" s="207">
        <v>13349.480079762596</v>
      </c>
      <c r="G16" s="207">
        <v>14016.954083750727</v>
      </c>
      <c r="H16" s="207">
        <v>14717.801787938264</v>
      </c>
      <c r="I16" s="207">
        <v>15453.691877335177</v>
      </c>
      <c r="J16" s="207">
        <v>16226.376471201937</v>
      </c>
      <c r="K16" s="207">
        <v>17037.695294762034</v>
      </c>
      <c r="L16" s="207">
        <v>17889.580059500135</v>
      </c>
      <c r="M16" s="207">
        <v>18784.059062475142</v>
      </c>
      <c r="N16" s="207">
        <v>19723.262015598899</v>
      </c>
      <c r="O16" s="39"/>
      <c r="P16" s="39"/>
      <c r="Q16" s="40"/>
      <c r="R16" s="40"/>
      <c r="S16" s="40"/>
      <c r="T16" s="42"/>
      <c r="U16" s="41"/>
    </row>
    <row r="17" spans="1:21" s="43" customFormat="1" ht="30" customHeight="1">
      <c r="A17" s="204">
        <v>13</v>
      </c>
      <c r="B17" s="205" t="s">
        <v>26</v>
      </c>
      <c r="C17" s="206">
        <v>2345.8977504789696</v>
      </c>
      <c r="D17" s="207">
        <v>2463.1926380029181</v>
      </c>
      <c r="E17" s="207">
        <v>2586.3522699030641</v>
      </c>
      <c r="F17" s="207">
        <v>2715.6698833982173</v>
      </c>
      <c r="G17" s="207">
        <v>2851.4533775681284</v>
      </c>
      <c r="H17" s="207">
        <v>2994.026046446535</v>
      </c>
      <c r="I17" s="207">
        <v>3143.7273487688617</v>
      </c>
      <c r="J17" s="207">
        <v>3300.9137162073048</v>
      </c>
      <c r="K17" s="207">
        <v>3465.9594020176701</v>
      </c>
      <c r="L17" s="207">
        <v>3639.2573721185536</v>
      </c>
      <c r="M17" s="207">
        <v>3821.2202407244813</v>
      </c>
      <c r="N17" s="207">
        <v>4012.2812527607057</v>
      </c>
      <c r="O17" s="39"/>
      <c r="P17" s="39"/>
      <c r="Q17" s="40"/>
      <c r="R17" s="40"/>
      <c r="S17" s="40"/>
      <c r="T17" s="42"/>
      <c r="U17" s="41"/>
    </row>
    <row r="18" spans="1:21" s="43" customFormat="1" ht="30" customHeight="1">
      <c r="A18" s="204">
        <v>14</v>
      </c>
      <c r="B18" s="205" t="s">
        <v>27</v>
      </c>
      <c r="C18" s="206">
        <v>6377.4931391401988</v>
      </c>
      <c r="D18" s="207">
        <v>6696.3677960972091</v>
      </c>
      <c r="E18" s="207">
        <v>7031.1861859020701</v>
      </c>
      <c r="F18" s="207">
        <v>7382.745495197174</v>
      </c>
      <c r="G18" s="207">
        <v>7751.8827699570329</v>
      </c>
      <c r="H18" s="207">
        <v>8139.4769084548852</v>
      </c>
      <c r="I18" s="207">
        <v>8546.4507538776306</v>
      </c>
      <c r="J18" s="207">
        <v>8973.7732915715133</v>
      </c>
      <c r="K18" s="207">
        <v>9422.4619561500895</v>
      </c>
      <c r="L18" s="207">
        <v>9893.5850539575949</v>
      </c>
      <c r="M18" s="207">
        <v>10388.264306655476</v>
      </c>
      <c r="N18" s="207">
        <v>10907.677521988249</v>
      </c>
      <c r="O18" s="39"/>
      <c r="P18" s="39"/>
      <c r="Q18" s="40"/>
      <c r="R18" s="40"/>
      <c r="S18" s="40"/>
      <c r="T18" s="42"/>
      <c r="U18" s="41"/>
    </row>
    <row r="19" spans="1:21" s="43" customFormat="1" ht="30" customHeight="1">
      <c r="A19" s="204">
        <v>15</v>
      </c>
      <c r="B19" s="205" t="s">
        <v>28</v>
      </c>
      <c r="C19" s="206">
        <v>2276.2809063387094</v>
      </c>
      <c r="D19" s="207">
        <v>2390.0949516556452</v>
      </c>
      <c r="E19" s="207">
        <v>2509.5996992384275</v>
      </c>
      <c r="F19" s="207">
        <v>2635.0796842003492</v>
      </c>
      <c r="G19" s="207">
        <v>2766.833668410367</v>
      </c>
      <c r="H19" s="207">
        <v>2905.1753518308856</v>
      </c>
      <c r="I19" s="207">
        <v>3050.4341194224298</v>
      </c>
      <c r="J19" s="207">
        <v>3202.9558253935515</v>
      </c>
      <c r="K19" s="207">
        <v>3363.1036166632293</v>
      </c>
      <c r="L19" s="207">
        <v>3531.2587974963908</v>
      </c>
      <c r="M19" s="207">
        <v>3707.8217373712105</v>
      </c>
      <c r="N19" s="207">
        <v>3893.2128242397712</v>
      </c>
      <c r="O19" s="39"/>
      <c r="P19" s="39"/>
      <c r="Q19" s="40"/>
      <c r="R19" s="40"/>
      <c r="S19" s="40"/>
      <c r="T19" s="42"/>
      <c r="U19" s="41"/>
    </row>
    <row r="20" spans="1:21" s="43" customFormat="1" ht="30" customHeight="1">
      <c r="A20" s="204">
        <v>16</v>
      </c>
      <c r="B20" s="205" t="s">
        <v>29</v>
      </c>
      <c r="C20" s="206">
        <v>1410.6263314404152</v>
      </c>
      <c r="D20" s="207">
        <v>1481.1576480124361</v>
      </c>
      <c r="E20" s="207">
        <v>1555.2155304130579</v>
      </c>
      <c r="F20" s="207">
        <v>1632.9763069337109</v>
      </c>
      <c r="G20" s="207">
        <v>1714.6251222803965</v>
      </c>
      <c r="H20" s="207">
        <v>1800.3563783944164</v>
      </c>
      <c r="I20" s="207">
        <v>1890.3741973141373</v>
      </c>
      <c r="J20" s="207">
        <v>1984.8929071798443</v>
      </c>
      <c r="K20" s="207">
        <v>2084.1375525388366</v>
      </c>
      <c r="L20" s="207">
        <v>2188.3444301657787</v>
      </c>
      <c r="M20" s="207">
        <v>2297.7616516740677</v>
      </c>
      <c r="N20" s="207">
        <v>2412.6497342577713</v>
      </c>
      <c r="O20" s="39"/>
      <c r="P20" s="39"/>
      <c r="Q20" s="40"/>
      <c r="R20" s="40"/>
      <c r="S20" s="40"/>
      <c r="T20" s="42"/>
      <c r="U20" s="41"/>
    </row>
    <row r="21" spans="1:21" s="43" customFormat="1" ht="30" customHeight="1">
      <c r="A21" s="204">
        <v>17</v>
      </c>
      <c r="B21" s="205" t="s">
        <v>30</v>
      </c>
      <c r="C21" s="206">
        <v>1812.1050830852046</v>
      </c>
      <c r="D21" s="207">
        <v>1902.7103372394649</v>
      </c>
      <c r="E21" s="207">
        <v>1997.8458541014384</v>
      </c>
      <c r="F21" s="207">
        <v>2097.7381468065105</v>
      </c>
      <c r="G21" s="207">
        <v>2202.6250541468362</v>
      </c>
      <c r="H21" s="207">
        <v>2312.7563068541781</v>
      </c>
      <c r="I21" s="207">
        <v>2428.3941221968871</v>
      </c>
      <c r="J21" s="207">
        <v>2549.8138283067315</v>
      </c>
      <c r="K21" s="207">
        <v>2677.3045197220681</v>
      </c>
      <c r="L21" s="207">
        <v>2811.1697457081718</v>
      </c>
      <c r="M21" s="207">
        <v>2951.7282329935806</v>
      </c>
      <c r="N21" s="207">
        <v>3099.3146446432597</v>
      </c>
      <c r="O21" s="39"/>
      <c r="P21" s="39"/>
      <c r="Q21" s="40"/>
      <c r="R21" s="40"/>
      <c r="S21" s="40"/>
      <c r="T21" s="42"/>
      <c r="U21" s="41"/>
    </row>
    <row r="22" spans="1:21" s="43" customFormat="1" ht="30" customHeight="1">
      <c r="A22" s="204">
        <v>18</v>
      </c>
      <c r="B22" s="205" t="s">
        <v>31</v>
      </c>
      <c r="C22" s="206">
        <v>8854.0059080741321</v>
      </c>
      <c r="D22" s="207">
        <v>9296.7062034778392</v>
      </c>
      <c r="E22" s="207">
        <v>9761.5415136517313</v>
      </c>
      <c r="F22" s="207">
        <v>10249.618589334319</v>
      </c>
      <c r="G22" s="207">
        <v>10762.099518801035</v>
      </c>
      <c r="H22" s="207">
        <v>11300.204494741087</v>
      </c>
      <c r="I22" s="207">
        <v>11865.214719478141</v>
      </c>
      <c r="J22" s="207">
        <v>12458.475455452048</v>
      </c>
      <c r="K22" s="207">
        <v>13081.399228224651</v>
      </c>
      <c r="L22" s="207">
        <v>13735.469189635884</v>
      </c>
      <c r="M22" s="207">
        <v>14422.242649117678</v>
      </c>
      <c r="N22" s="207">
        <v>15143.354781573562</v>
      </c>
      <c r="O22" s="39"/>
      <c r="P22" s="39"/>
      <c r="Q22" s="40"/>
      <c r="R22" s="40"/>
      <c r="S22" s="40"/>
      <c r="T22" s="42"/>
      <c r="U22" s="41"/>
    </row>
    <row r="23" spans="1:21" s="43" customFormat="1" ht="30" customHeight="1">
      <c r="A23" s="204">
        <v>19</v>
      </c>
      <c r="B23" s="205" t="s">
        <v>32</v>
      </c>
      <c r="C23" s="206">
        <v>4525.1190158804593</v>
      </c>
      <c r="D23" s="207">
        <v>4751.3749666744825</v>
      </c>
      <c r="E23" s="207">
        <v>4988.9437150082067</v>
      </c>
      <c r="F23" s="207">
        <v>5238.3909007586171</v>
      </c>
      <c r="G23" s="207">
        <v>5500.3104457965483</v>
      </c>
      <c r="H23" s="207">
        <v>5775.3259680863757</v>
      </c>
      <c r="I23" s="207">
        <v>6064.0922664906948</v>
      </c>
      <c r="J23" s="207">
        <v>6367.2968798152297</v>
      </c>
      <c r="K23" s="207">
        <v>6685.6617238059916</v>
      </c>
      <c r="L23" s="207">
        <v>7019.944809996292</v>
      </c>
      <c r="M23" s="207">
        <v>7370.9420504961072</v>
      </c>
      <c r="N23" s="207">
        <v>7739.4891530209125</v>
      </c>
      <c r="O23" s="39"/>
      <c r="P23" s="39"/>
      <c r="Q23" s="40"/>
      <c r="R23" s="40"/>
      <c r="S23" s="40"/>
      <c r="T23" s="42"/>
      <c r="U23" s="41"/>
    </row>
    <row r="24" spans="1:21" s="43" customFormat="1" ht="30" customHeight="1">
      <c r="A24" s="204">
        <v>20</v>
      </c>
      <c r="B24" s="205" t="s">
        <v>33</v>
      </c>
      <c r="C24" s="206">
        <v>2115.2306171729697</v>
      </c>
      <c r="D24" s="207">
        <v>2220.9921480316184</v>
      </c>
      <c r="E24" s="207">
        <v>2332.0417554331993</v>
      </c>
      <c r="F24" s="207">
        <v>2448.6438432048594</v>
      </c>
      <c r="G24" s="207">
        <v>2571.0760353651026</v>
      </c>
      <c r="H24" s="207">
        <v>2699.6298371333578</v>
      </c>
      <c r="I24" s="207">
        <v>2834.6113289900259</v>
      </c>
      <c r="J24" s="207">
        <v>2976.3418954395274</v>
      </c>
      <c r="K24" s="207">
        <v>3125.1589902115038</v>
      </c>
      <c r="L24" s="207">
        <v>3281.416939722079</v>
      </c>
      <c r="M24" s="207">
        <v>3445.4877867081832</v>
      </c>
      <c r="N24" s="207">
        <v>3617.7621760435927</v>
      </c>
      <c r="O24" s="39"/>
      <c r="P24" s="39"/>
      <c r="Q24" s="40"/>
      <c r="R24" s="40"/>
      <c r="S24" s="40"/>
      <c r="T24" s="42"/>
      <c r="U24" s="41"/>
    </row>
    <row r="25" spans="1:21" s="43" customFormat="1" ht="30" customHeight="1">
      <c r="A25" s="204">
        <v>21</v>
      </c>
      <c r="B25" s="205" t="s">
        <v>34</v>
      </c>
      <c r="C25" s="206">
        <v>2313.0486657956376</v>
      </c>
      <c r="D25" s="207">
        <v>2428.7010990854196</v>
      </c>
      <c r="E25" s="207">
        <v>2550.1361540396906</v>
      </c>
      <c r="F25" s="207">
        <v>2677.6429617416752</v>
      </c>
      <c r="G25" s="207">
        <v>2811.525109828759</v>
      </c>
      <c r="H25" s="207">
        <v>2952.1013653201971</v>
      </c>
      <c r="I25" s="207">
        <v>3099.7064335862069</v>
      </c>
      <c r="J25" s="207">
        <v>3254.6917552655173</v>
      </c>
      <c r="K25" s="207">
        <v>3417.4263430287933</v>
      </c>
      <c r="L25" s="207">
        <v>3588.2976601802329</v>
      </c>
      <c r="M25" s="207">
        <v>3767.7125431892446</v>
      </c>
      <c r="N25" s="207">
        <v>3956.0981703487068</v>
      </c>
      <c r="O25" s="39"/>
      <c r="P25" s="39"/>
      <c r="Q25" s="40"/>
      <c r="R25" s="40"/>
      <c r="S25" s="40"/>
      <c r="T25" s="42"/>
      <c r="U25" s="41"/>
    </row>
    <row r="26" spans="1:21" s="43" customFormat="1" ht="30" customHeight="1">
      <c r="A26" s="204">
        <v>22</v>
      </c>
      <c r="B26" s="205" t="s">
        <v>35</v>
      </c>
      <c r="C26" s="206">
        <v>4494.4776352949284</v>
      </c>
      <c r="D26" s="207">
        <v>4719.2015170596751</v>
      </c>
      <c r="E26" s="207">
        <v>4955.1615929126592</v>
      </c>
      <c r="F26" s="207">
        <v>5202.9196725582924</v>
      </c>
      <c r="G26" s="207">
        <v>5463.065656186207</v>
      </c>
      <c r="H26" s="207">
        <v>5736.2189389955174</v>
      </c>
      <c r="I26" s="207">
        <v>6023.0298859452932</v>
      </c>
      <c r="J26" s="207">
        <v>6324.1813802425586</v>
      </c>
      <c r="K26" s="207">
        <v>6640.3904492546872</v>
      </c>
      <c r="L26" s="207">
        <v>6972.4099717174222</v>
      </c>
      <c r="M26" s="207">
        <v>7321.0304703032934</v>
      </c>
      <c r="N26" s="207">
        <v>7687.0819938184586</v>
      </c>
      <c r="O26" s="39"/>
      <c r="P26" s="39"/>
      <c r="Q26" s="40"/>
      <c r="R26" s="40"/>
      <c r="S26" s="40"/>
      <c r="T26" s="42"/>
      <c r="U26" s="41"/>
    </row>
    <row r="27" spans="1:21" s="43" customFormat="1" ht="30" customHeight="1">
      <c r="A27" s="204">
        <v>23</v>
      </c>
      <c r="B27" s="205" t="s">
        <v>36</v>
      </c>
      <c r="C27" s="206">
        <v>4259.1993325315298</v>
      </c>
      <c r="D27" s="207">
        <v>4472.1592991581065</v>
      </c>
      <c r="E27" s="207">
        <v>4695.7672641160116</v>
      </c>
      <c r="F27" s="207">
        <v>4930.5556273218126</v>
      </c>
      <c r="G27" s="207">
        <v>5177.0834086879031</v>
      </c>
      <c r="H27" s="207">
        <v>5435.9375791222983</v>
      </c>
      <c r="I27" s="207">
        <v>5707.7344580784138</v>
      </c>
      <c r="J27" s="207">
        <v>5993.1211809823344</v>
      </c>
      <c r="K27" s="207">
        <v>6292.7772400314516</v>
      </c>
      <c r="L27" s="207">
        <v>6607.4161020330248</v>
      </c>
      <c r="M27" s="207">
        <v>6937.7869071346768</v>
      </c>
      <c r="N27" s="207">
        <v>7284.6762524914111</v>
      </c>
      <c r="O27" s="39"/>
      <c r="P27" s="39"/>
      <c r="Q27" s="40"/>
      <c r="R27" s="40"/>
      <c r="S27" s="40"/>
      <c r="T27" s="42"/>
      <c r="U27" s="41"/>
    </row>
    <row r="28" spans="1:21" s="43" customFormat="1" ht="30" customHeight="1">
      <c r="A28" s="204">
        <v>24</v>
      </c>
      <c r="B28" s="205" t="s">
        <v>37</v>
      </c>
      <c r="C28" s="206">
        <v>1508.9873104571584</v>
      </c>
      <c r="D28" s="207">
        <v>1584.4366759800164</v>
      </c>
      <c r="E28" s="207">
        <v>1663.6585097790173</v>
      </c>
      <c r="F28" s="207">
        <v>1746.8414352679683</v>
      </c>
      <c r="G28" s="207">
        <v>1834.1835070313668</v>
      </c>
      <c r="H28" s="207">
        <v>1925.8926823829352</v>
      </c>
      <c r="I28" s="207">
        <v>2022.187316502082</v>
      </c>
      <c r="J28" s="207">
        <v>2123.2966823271863</v>
      </c>
      <c r="K28" s="207">
        <v>2229.4615164435459</v>
      </c>
      <c r="L28" s="207">
        <v>2340.934592265723</v>
      </c>
      <c r="M28" s="207">
        <v>2457.9813218790091</v>
      </c>
      <c r="N28" s="207">
        <v>2580.8803879729599</v>
      </c>
      <c r="O28" s="39"/>
      <c r="P28" s="39"/>
      <c r="Q28" s="40"/>
      <c r="R28" s="40"/>
      <c r="S28" s="40"/>
      <c r="T28" s="42"/>
      <c r="U28" s="41"/>
    </row>
    <row r="29" spans="1:21" s="43" customFormat="1" ht="30" customHeight="1">
      <c r="A29" s="204">
        <v>25</v>
      </c>
      <c r="B29" s="205" t="s">
        <v>38</v>
      </c>
      <c r="C29" s="206">
        <v>4180.0703883136366</v>
      </c>
      <c r="D29" s="207">
        <v>4389.0739077293183</v>
      </c>
      <c r="E29" s="207">
        <v>4608.5276031157846</v>
      </c>
      <c r="F29" s="207">
        <v>4838.9539832715736</v>
      </c>
      <c r="G29" s="207">
        <v>5080.9016824351529</v>
      </c>
      <c r="H29" s="207">
        <v>5334.9467665569109</v>
      </c>
      <c r="I29" s="207">
        <v>5601.6941048847566</v>
      </c>
      <c r="J29" s="207">
        <v>5881.7788101289943</v>
      </c>
      <c r="K29" s="207">
        <v>6175.8677506354443</v>
      </c>
      <c r="L29" s="207">
        <v>6484.6611381672164</v>
      </c>
      <c r="M29" s="207">
        <v>6808.894195075578</v>
      </c>
      <c r="N29" s="207">
        <v>7149.3389048293575</v>
      </c>
      <c r="O29" s="39"/>
      <c r="P29" s="39"/>
      <c r="Q29" s="40"/>
      <c r="R29" s="40"/>
      <c r="S29" s="40"/>
      <c r="T29" s="42"/>
      <c r="U29" s="41"/>
    </row>
    <row r="30" spans="1:21" s="43" customFormat="1" ht="30" customHeight="1">
      <c r="A30" s="204">
        <v>26</v>
      </c>
      <c r="B30" s="205" t="s">
        <v>39</v>
      </c>
      <c r="C30" s="206">
        <v>2296.6435271032688</v>
      </c>
      <c r="D30" s="207">
        <v>2411.4757034584322</v>
      </c>
      <c r="E30" s="207">
        <v>2532.0494886313541</v>
      </c>
      <c r="F30" s="207">
        <v>2658.6519630629218</v>
      </c>
      <c r="G30" s="207">
        <v>2791.5845612160679</v>
      </c>
      <c r="H30" s="207">
        <v>2931.1637892768713</v>
      </c>
      <c r="I30" s="207">
        <v>3077.7219787407148</v>
      </c>
      <c r="J30" s="207">
        <v>3231.6080776777508</v>
      </c>
      <c r="K30" s="207">
        <v>3393.1884815616386</v>
      </c>
      <c r="L30" s="207">
        <v>3562.8479056397205</v>
      </c>
      <c r="M30" s="207">
        <v>3740.9903009217064</v>
      </c>
      <c r="N30" s="207">
        <v>3928.039815967792</v>
      </c>
      <c r="O30" s="39"/>
      <c r="P30" s="39"/>
      <c r="Q30" s="40"/>
      <c r="R30" s="40"/>
      <c r="S30" s="40"/>
      <c r="T30" s="42"/>
      <c r="U30" s="41"/>
    </row>
    <row r="31" spans="1:21" s="43" customFormat="1" ht="30" customHeight="1">
      <c r="A31" s="204">
        <v>27</v>
      </c>
      <c r="B31" s="205" t="s">
        <v>40</v>
      </c>
      <c r="C31" s="206">
        <v>4009.5269715273535</v>
      </c>
      <c r="D31" s="207">
        <v>4210.0033201037213</v>
      </c>
      <c r="E31" s="207">
        <v>4420.503486108908</v>
      </c>
      <c r="F31" s="207">
        <v>4641.5286604143539</v>
      </c>
      <c r="G31" s="207">
        <v>4873.6050934350715</v>
      </c>
      <c r="H31" s="207">
        <v>5117.285348106825</v>
      </c>
      <c r="I31" s="207">
        <v>5373.1496155121667</v>
      </c>
      <c r="J31" s="207">
        <v>5641.8070962877755</v>
      </c>
      <c r="K31" s="207">
        <v>5923.8974511021643</v>
      </c>
      <c r="L31" s="207">
        <v>6220.0923236572726</v>
      </c>
      <c r="M31" s="207">
        <v>6531.0969398401367</v>
      </c>
      <c r="N31" s="207">
        <v>6857.6517868321434</v>
      </c>
      <c r="O31" s="39"/>
      <c r="P31" s="39"/>
      <c r="Q31" s="40"/>
      <c r="R31" s="40"/>
      <c r="S31" s="40"/>
      <c r="T31" s="42"/>
      <c r="U31" s="41"/>
    </row>
    <row r="32" spans="1:21" s="43" customFormat="1" ht="30" customHeight="1">
      <c r="A32" s="204">
        <v>28</v>
      </c>
      <c r="B32" s="205" t="s">
        <v>41</v>
      </c>
      <c r="C32" s="206">
        <v>4671.1793391758974</v>
      </c>
      <c r="D32" s="207">
        <v>4904.7383061346927</v>
      </c>
      <c r="E32" s="207">
        <v>5149.9752214414275</v>
      </c>
      <c r="F32" s="207">
        <v>5407.4739825134993</v>
      </c>
      <c r="G32" s="207">
        <v>5677.8476816391749</v>
      </c>
      <c r="H32" s="207">
        <v>5961.7400657211338</v>
      </c>
      <c r="I32" s="207">
        <v>6259.8270690071904</v>
      </c>
      <c r="J32" s="207">
        <v>6572.8184224575498</v>
      </c>
      <c r="K32" s="207">
        <v>6901.4593435804272</v>
      </c>
      <c r="L32" s="207">
        <v>7246.5323107594486</v>
      </c>
      <c r="M32" s="207">
        <v>7608.858926297421</v>
      </c>
      <c r="N32" s="207">
        <v>7989.3018726122928</v>
      </c>
      <c r="O32" s="39"/>
      <c r="P32" s="39"/>
      <c r="Q32" s="40"/>
      <c r="R32" s="40"/>
      <c r="S32" s="40"/>
      <c r="T32" s="42"/>
      <c r="U32" s="41"/>
    </row>
    <row r="33" spans="1:21" s="43" customFormat="1" ht="30" customHeight="1">
      <c r="A33" s="204">
        <v>29</v>
      </c>
      <c r="B33" s="205" t="s">
        <v>42</v>
      </c>
      <c r="C33" s="206">
        <v>3450.150808131496</v>
      </c>
      <c r="D33" s="207">
        <v>3622.6583485380711</v>
      </c>
      <c r="E33" s="207">
        <v>3803.7912659649746</v>
      </c>
      <c r="F33" s="207">
        <v>3993.9808292632233</v>
      </c>
      <c r="G33" s="207">
        <v>4193.6798707263843</v>
      </c>
      <c r="H33" s="207">
        <v>4403.3638642627038</v>
      </c>
      <c r="I33" s="207">
        <v>4623.5320574758389</v>
      </c>
      <c r="J33" s="207">
        <v>4854.7086603496309</v>
      </c>
      <c r="K33" s="207">
        <v>5097.4440933671131</v>
      </c>
      <c r="L33" s="207">
        <v>5352.3162980354691</v>
      </c>
      <c r="M33" s="207">
        <v>5619.9321129372429</v>
      </c>
      <c r="N33" s="207">
        <v>5900.9287185841049</v>
      </c>
      <c r="O33" s="39"/>
      <c r="P33" s="39"/>
      <c r="Q33" s="40"/>
      <c r="R33" s="40"/>
      <c r="S33" s="40"/>
      <c r="T33" s="42"/>
      <c r="U33" s="41"/>
    </row>
    <row r="34" spans="1:21" s="43" customFormat="1" ht="30" customHeight="1">
      <c r="A34" s="204">
        <v>30</v>
      </c>
      <c r="B34" s="205" t="s">
        <v>43</v>
      </c>
      <c r="C34" s="206">
        <v>534.83270299608807</v>
      </c>
      <c r="D34" s="207">
        <v>561.57433814589251</v>
      </c>
      <c r="E34" s="207">
        <v>589.65305505318713</v>
      </c>
      <c r="F34" s="207">
        <v>619.13570780584655</v>
      </c>
      <c r="G34" s="207">
        <v>650.09249319613889</v>
      </c>
      <c r="H34" s="207">
        <v>682.59711785594584</v>
      </c>
      <c r="I34" s="207">
        <v>716.72697374874315</v>
      </c>
      <c r="J34" s="207">
        <v>752.56332243618033</v>
      </c>
      <c r="K34" s="207">
        <v>790.19148855798937</v>
      </c>
      <c r="L34" s="207">
        <v>829.70106298588883</v>
      </c>
      <c r="M34" s="207">
        <v>871.18611613518328</v>
      </c>
      <c r="N34" s="207">
        <v>914.74542194194248</v>
      </c>
      <c r="O34" s="39"/>
      <c r="P34" s="39"/>
      <c r="Q34" s="40"/>
      <c r="R34" s="40"/>
      <c r="S34" s="40"/>
      <c r="T34" s="42"/>
      <c r="U34" s="41"/>
    </row>
    <row r="35" spans="1:21" s="43" customFormat="1" ht="30" customHeight="1">
      <c r="A35" s="204">
        <v>31</v>
      </c>
      <c r="B35" s="205" t="s">
        <v>44</v>
      </c>
      <c r="C35" s="206">
        <v>3942.1238681757868</v>
      </c>
      <c r="D35" s="207">
        <v>4139.2300615845761</v>
      </c>
      <c r="E35" s="207">
        <v>4346.1915646638054</v>
      </c>
      <c r="F35" s="207">
        <v>4563.5011428969956</v>
      </c>
      <c r="G35" s="207">
        <v>4791.6762000418457</v>
      </c>
      <c r="H35" s="207">
        <v>5031.2600100439386</v>
      </c>
      <c r="I35" s="207">
        <v>5282.8230105461353</v>
      </c>
      <c r="J35" s="207">
        <v>5546.9641610734425</v>
      </c>
      <c r="K35" s="207">
        <v>5824.3123691271148</v>
      </c>
      <c r="L35" s="207">
        <v>6115.5279875834713</v>
      </c>
      <c r="M35" s="207">
        <v>6421.3043869626454</v>
      </c>
      <c r="N35" s="207">
        <v>6742.3696063107782</v>
      </c>
      <c r="O35" s="39"/>
      <c r="P35" s="39"/>
      <c r="Q35" s="40"/>
      <c r="R35" s="40"/>
      <c r="S35" s="40"/>
      <c r="T35" s="42"/>
      <c r="U35" s="41"/>
    </row>
    <row r="36" spans="1:21" s="43" customFormat="1" ht="30" customHeight="1">
      <c r="A36" s="204">
        <v>32</v>
      </c>
      <c r="B36" s="205" t="s">
        <v>45</v>
      </c>
      <c r="C36" s="206">
        <v>1665.855897603275</v>
      </c>
      <c r="D36" s="207">
        <v>1749.1486924834389</v>
      </c>
      <c r="E36" s="207">
        <v>1836.606127107611</v>
      </c>
      <c r="F36" s="207">
        <v>1928.4364334629915</v>
      </c>
      <c r="G36" s="207">
        <v>2024.8582551361412</v>
      </c>
      <c r="H36" s="207">
        <v>2126.1011678929485</v>
      </c>
      <c r="I36" s="207">
        <v>2232.4062262875959</v>
      </c>
      <c r="J36" s="207">
        <v>2344.0265376019756</v>
      </c>
      <c r="K36" s="207">
        <v>2461.2278644820744</v>
      </c>
      <c r="L36" s="207">
        <v>2584.2892577061784</v>
      </c>
      <c r="M36" s="207">
        <v>2713.5037205914873</v>
      </c>
      <c r="N36" s="207">
        <v>2849.1789066210617</v>
      </c>
      <c r="O36" s="39"/>
      <c r="P36" s="39"/>
      <c r="Q36" s="40"/>
      <c r="R36" s="40"/>
      <c r="S36" s="40"/>
      <c r="T36" s="42"/>
      <c r="U36" s="41"/>
    </row>
    <row r="37" spans="1:21" s="46" customFormat="1" ht="30" customHeight="1">
      <c r="A37" s="376" t="s">
        <v>107</v>
      </c>
      <c r="B37" s="376"/>
      <c r="C37" s="206">
        <f t="shared" ref="C37:N37" si="0">SUM(C5:C36)</f>
        <v>135785.849525</v>
      </c>
      <c r="D37" s="206">
        <f t="shared" si="0"/>
        <v>142575.14200125</v>
      </c>
      <c r="E37" s="206">
        <f t="shared" si="0"/>
        <v>149703.89910131248</v>
      </c>
      <c r="F37" s="206">
        <f t="shared" si="0"/>
        <v>157189.09405637815</v>
      </c>
      <c r="G37" s="206">
        <f t="shared" si="0"/>
        <v>165048.54875919703</v>
      </c>
      <c r="H37" s="206">
        <f t="shared" si="0"/>
        <v>173300.97619715688</v>
      </c>
      <c r="I37" s="206">
        <f t="shared" si="0"/>
        <v>181966.02500701474</v>
      </c>
      <c r="J37" s="206">
        <f t="shared" si="0"/>
        <v>191064.32625736552</v>
      </c>
      <c r="K37" s="206">
        <f t="shared" si="0"/>
        <v>200617.54257023378</v>
      </c>
      <c r="L37" s="206">
        <f t="shared" si="0"/>
        <v>210648.41969874551</v>
      </c>
      <c r="M37" s="206">
        <f t="shared" si="0"/>
        <v>221180.84068368279</v>
      </c>
      <c r="N37" s="206">
        <f t="shared" si="0"/>
        <v>232239.88271786686</v>
      </c>
      <c r="O37" s="39"/>
      <c r="P37" s="39"/>
      <c r="Q37" s="40"/>
      <c r="R37" s="40"/>
      <c r="S37" s="40"/>
      <c r="T37" s="44"/>
      <c r="U37" s="45"/>
    </row>
    <row r="200" spans="1:20" s="47" customFormat="1" ht="35.1" hidden="1" customHeight="1">
      <c r="A200" s="47">
        <v>103791.41132499999</v>
      </c>
      <c r="B200" s="47">
        <v>31994.438200000004</v>
      </c>
      <c r="D200" s="48"/>
      <c r="E200" s="48"/>
      <c r="F200" s="48"/>
      <c r="G200" s="48"/>
      <c r="H200" s="48"/>
      <c r="I200" s="48"/>
      <c r="J200" s="48"/>
      <c r="K200" s="48"/>
      <c r="L200" s="48"/>
      <c r="M200" s="48"/>
      <c r="N200" s="49"/>
      <c r="O200" s="50"/>
      <c r="P200" s="50"/>
      <c r="Q200" s="50"/>
      <c r="R200" s="50"/>
      <c r="T200" s="51"/>
    </row>
  </sheetData>
  <mergeCells count="17">
    <mergeCell ref="A37:B37"/>
    <mergeCell ref="I3:I4"/>
    <mergeCell ref="J3:J4"/>
    <mergeCell ref="K3:K4"/>
    <mergeCell ref="L3:L4"/>
    <mergeCell ref="M3:M4"/>
    <mergeCell ref="N3:N4"/>
    <mergeCell ref="A1:N1"/>
    <mergeCell ref="A2:A4"/>
    <mergeCell ref="B2:B4"/>
    <mergeCell ref="C2:C4"/>
    <mergeCell ref="D2:D4"/>
    <mergeCell ref="E2:I2"/>
    <mergeCell ref="J2:N2"/>
    <mergeCell ref="E3:F3"/>
    <mergeCell ref="G3:G4"/>
    <mergeCell ref="H3:H4"/>
  </mergeCells>
  <pageMargins left="0.7" right="0.7" top="0.75" bottom="0.75" header="0.3" footer="0.3"/>
  <pageSetup paperSize="9" orientation="portrait" r:id="rId1"/>
  <ignoredErrors>
    <ignoredError sqref="E37:N37"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75</vt:i4>
      </vt:variant>
      <vt:variant>
        <vt:lpstr>Named Ranges</vt:lpstr>
      </vt:variant>
      <vt:variant>
        <vt:i4>5</vt:i4>
      </vt:variant>
    </vt:vector>
  </HeadingPairs>
  <TitlesOfParts>
    <vt:vector size="80" baseType="lpstr">
      <vt:lpstr>شروع</vt:lpstr>
      <vt:lpstr>جدول شماره 1 کشور</vt:lpstr>
      <vt:lpstr>برش استانی هدف کلی 1</vt:lpstr>
      <vt:lpstr>برش استانی هدف کلی 2</vt:lpstr>
      <vt:lpstr>برش استانی هدف کلی 3</vt:lpstr>
      <vt:lpstr>برش استانی هدف کلی 4</vt:lpstr>
      <vt:lpstr>جدول 2 اهداف کمی</vt:lpstr>
      <vt:lpstr>جدول 2 حجم اهداف کمی</vt:lpstr>
      <vt:lpstr>برش استانی هدف 1</vt:lpstr>
      <vt:lpstr>عملیات-فعالیت ها 1</vt:lpstr>
      <vt:lpstr>شاخص 1</vt:lpstr>
      <vt:lpstr>اهداف 1</vt:lpstr>
      <vt:lpstr>سیاست ها و برنامه ها 1</vt:lpstr>
      <vt:lpstr>برش استانی هدف 2</vt:lpstr>
      <vt:lpstr>عملیات-فعالیت ها 2</vt:lpstr>
      <vt:lpstr>شاخص 2</vt:lpstr>
      <vt:lpstr>اهداف 2</vt:lpstr>
      <vt:lpstr>سیاست ها و برنامه ها 2 </vt:lpstr>
      <vt:lpstr>برش استانی هدف 3</vt:lpstr>
      <vt:lpstr>عملیات-فعالیت ها 3</vt:lpstr>
      <vt:lpstr>شاخص 3</vt:lpstr>
      <vt:lpstr>اهداف 3</vt:lpstr>
      <vt:lpstr>سیاست ها و برنامه ها 3  </vt:lpstr>
      <vt:lpstr>برش استانی هدف 4</vt:lpstr>
      <vt:lpstr>عملیات-فعالیت ها 4</vt:lpstr>
      <vt:lpstr>شاخص4</vt:lpstr>
      <vt:lpstr>اهداف 4</vt:lpstr>
      <vt:lpstr>سیاست ها و برنامه ها 4 </vt:lpstr>
      <vt:lpstr>برش استانی هدف 5</vt:lpstr>
      <vt:lpstr>عملیات-فعالیت ها 5</vt:lpstr>
      <vt:lpstr>شاخص 5</vt:lpstr>
      <vt:lpstr>اهداف 5</vt:lpstr>
      <vt:lpstr>سیاست ها و برنامه ها 5 </vt:lpstr>
      <vt:lpstr>برش استانی هدف 7</vt:lpstr>
      <vt:lpstr>عملیات-فعالیت ها 7 </vt:lpstr>
      <vt:lpstr>شاخص 7</vt:lpstr>
      <vt:lpstr>سیاست ها و برنامه ها 7</vt:lpstr>
      <vt:lpstr>برش استانی هدف 9</vt:lpstr>
      <vt:lpstr>عملیات-فعالیت ها 9</vt:lpstr>
      <vt:lpstr>شاخص 9</vt:lpstr>
      <vt:lpstr>سیاست ها و برنامه ها 9</vt:lpstr>
      <vt:lpstr>برش استانی هدف 10</vt:lpstr>
      <vt:lpstr>عملیات-فعالیت ها 10</vt:lpstr>
      <vt:lpstr>شاخص 10</vt:lpstr>
      <vt:lpstr>اهداف 10</vt:lpstr>
      <vt:lpstr>سیاست ها و برنامه ها 10 </vt:lpstr>
      <vt:lpstr>برش استانی هدف 11</vt:lpstr>
      <vt:lpstr>عملیات-فعالیت ها 11</vt:lpstr>
      <vt:lpstr>اهداف 11</vt:lpstr>
      <vt:lpstr>شاخص 11</vt:lpstr>
      <vt:lpstr>سیاست ها و برنامه ها 11</vt:lpstr>
      <vt:lpstr>برش استانی هدف 12</vt:lpstr>
      <vt:lpstr>عملیات-فعالیت ها 12</vt:lpstr>
      <vt:lpstr>اهداف 12</vt:lpstr>
      <vt:lpstr>شاخص 12</vt:lpstr>
      <vt:lpstr>سیاست ها و برنامه ها 12 </vt:lpstr>
      <vt:lpstr>برش استانی هدف 13</vt:lpstr>
      <vt:lpstr>عملیات-فعالیت ها 13  </vt:lpstr>
      <vt:lpstr>اهداف 13</vt:lpstr>
      <vt:lpstr>شاخص 13</vt:lpstr>
      <vt:lpstr>سیاست ها و برنامه ها 13 </vt:lpstr>
      <vt:lpstr>برش استانی هدف 14</vt:lpstr>
      <vt:lpstr>عملیات-فعالیت ها 14 </vt:lpstr>
      <vt:lpstr>شاخص 14</vt:lpstr>
      <vt:lpstr>سیاست ها و برنامه ها 14 </vt:lpstr>
      <vt:lpstr>برش استانی هدف 15</vt:lpstr>
      <vt:lpstr>عملیات-فعالیت ها 15 </vt:lpstr>
      <vt:lpstr>اهداف 15</vt:lpstr>
      <vt:lpstr>شاخص 15</vt:lpstr>
      <vt:lpstr>سیاست ها و برنامه ها 15</vt:lpstr>
      <vt:lpstr>برش استانی هدف 16</vt:lpstr>
      <vt:lpstr>عملیات-فعالیت ها 16</vt:lpstr>
      <vt:lpstr>شاخص 16</vt:lpstr>
      <vt:lpstr>سیاست ها و برنامه ها 16</vt:lpstr>
      <vt:lpstr>نرخ تسهیم برنامه اجرایی</vt:lpstr>
      <vt:lpstr>'برش استانی هدف کلی 1'!Print_Area</vt:lpstr>
      <vt:lpstr>'برش استانی هدف کلی 2'!Print_Area</vt:lpstr>
      <vt:lpstr>'برش استانی هدف کلی 3'!Print_Area</vt:lpstr>
      <vt:lpstr>'برش استانی هدف کلی 4'!Print_Area</vt:lpstr>
      <vt:lpstr>'نرخ تسهیم برنامه اجرایی'!Print_Area</vt:lpstr>
    </vt:vector>
  </TitlesOfParts>
  <Company>ivo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a-faraji</dc:creator>
  <cp:lastModifiedBy>Ali Akbar Faraji</cp:lastModifiedBy>
  <cp:lastPrinted>2019-02-19T07:45:45Z</cp:lastPrinted>
  <dcterms:created xsi:type="dcterms:W3CDTF">2016-07-09T03:40:50Z</dcterms:created>
  <dcterms:modified xsi:type="dcterms:W3CDTF">2022-11-30T10:18:09Z</dcterms:modified>
</cp:coreProperties>
</file>